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icitação\"/>
    </mc:Choice>
  </mc:AlternateContent>
  <xr:revisionPtr revIDLastSave="0" documentId="8_{9329F8F9-B6AF-4F5E-8AC3-BA296EA26A04}" xr6:coauthVersionLast="43" xr6:coauthVersionMax="43" xr10:uidLastSave="{00000000-0000-0000-0000-000000000000}"/>
  <bookViews>
    <workbookView xWindow="-120" yWindow="-120" windowWidth="24240" windowHeight="13140" tabRatio="500" activeTab="6" xr2:uid="{00000000-000D-0000-FFFF-FFFF00000000}"/>
  </bookViews>
  <sheets>
    <sheet name="orçamento" sheetId="1" r:id="rId1"/>
    <sheet name="Composição" sheetId="2" r:id="rId2"/>
    <sheet name="Cotações" sheetId="3" r:id="rId3"/>
    <sheet name="RESUMO" sheetId="4" r:id="rId4"/>
    <sheet name="CRONOGRAMA" sheetId="5" r:id="rId5"/>
    <sheet name="BDI" sheetId="6" r:id="rId6"/>
    <sheet name="Declaração" sheetId="7" r:id="rId7"/>
  </sheets>
  <definedNames>
    <definedName name="_xlnm.Print_Area" localSheetId="0">orçamento!$A$1:$I$576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6" l="1"/>
  <c r="C29" i="6" s="1"/>
  <c r="C22" i="6"/>
  <c r="O58" i="5"/>
  <c r="O56" i="5"/>
  <c r="O52" i="5"/>
  <c r="O50" i="5"/>
  <c r="O48" i="5"/>
  <c r="O46" i="5"/>
  <c r="O44" i="5"/>
  <c r="O42" i="5"/>
  <c r="O40" i="5"/>
  <c r="O38" i="5"/>
  <c r="O36" i="5"/>
  <c r="O34" i="5"/>
  <c r="O32" i="5"/>
  <c r="O30" i="5"/>
  <c r="O28" i="5"/>
  <c r="O26" i="5"/>
  <c r="O24" i="5"/>
  <c r="O22" i="5"/>
  <c r="O20" i="5"/>
  <c r="O18" i="5"/>
  <c r="E27" i="3"/>
  <c r="E21" i="3"/>
  <c r="E15" i="3"/>
  <c r="H612" i="2"/>
  <c r="H611" i="2"/>
  <c r="H610" i="2"/>
  <c r="H609" i="2"/>
  <c r="H608" i="2"/>
  <c r="H607" i="2"/>
  <c r="H606" i="2"/>
  <c r="H605" i="2"/>
  <c r="H604" i="2"/>
  <c r="H603" i="2"/>
  <c r="H602" i="2"/>
  <c r="H613" i="2" s="1"/>
  <c r="H598" i="2"/>
  <c r="H597" i="2"/>
  <c r="H596" i="2"/>
  <c r="H599" i="2" s="1"/>
  <c r="H592" i="2"/>
  <c r="H591" i="2"/>
  <c r="H593" i="2" s="1"/>
  <c r="H588" i="2"/>
  <c r="H587" i="2"/>
  <c r="H586" i="2"/>
  <c r="H582" i="2"/>
  <c r="H583" i="2" s="1"/>
  <c r="H579" i="2"/>
  <c r="H578" i="2"/>
  <c r="H574" i="2"/>
  <c r="H575" i="2" s="1"/>
  <c r="H570" i="2"/>
  <c r="H569" i="2"/>
  <c r="H571" i="2" s="1"/>
  <c r="H566" i="2"/>
  <c r="H565" i="2"/>
  <c r="H561" i="2"/>
  <c r="H560" i="2"/>
  <c r="H562" i="2" s="1"/>
  <c r="H556" i="2"/>
  <c r="H555" i="2"/>
  <c r="H554" i="2"/>
  <c r="H557" i="2" s="1"/>
  <c r="G518" i="1" s="1"/>
  <c r="H518" i="1" s="1"/>
  <c r="I518" i="1" s="1"/>
  <c r="H550" i="2"/>
  <c r="H549" i="2"/>
  <c r="H548" i="2"/>
  <c r="H547" i="2"/>
  <c r="H551" i="2" s="1"/>
  <c r="G529" i="1" s="1"/>
  <c r="H529" i="1" s="1"/>
  <c r="I529" i="1" s="1"/>
  <c r="G543" i="2"/>
  <c r="H543" i="2" s="1"/>
  <c r="H542" i="2"/>
  <c r="H541" i="2"/>
  <c r="H540" i="2"/>
  <c r="H544" i="2" s="1"/>
  <c r="H536" i="2"/>
  <c r="H535" i="2"/>
  <c r="H534" i="2"/>
  <c r="H533" i="2"/>
  <c r="H537" i="2" s="1"/>
  <c r="H532" i="2"/>
  <c r="H528" i="2"/>
  <c r="H527" i="2"/>
  <c r="H526" i="2"/>
  <c r="H529" i="2" s="1"/>
  <c r="G502" i="1" s="1"/>
  <c r="H502" i="1" s="1"/>
  <c r="I502" i="1" s="1"/>
  <c r="H522" i="2"/>
  <c r="H521" i="2"/>
  <c r="H520" i="2"/>
  <c r="H519" i="2"/>
  <c r="H523" i="2" s="1"/>
  <c r="H515" i="2"/>
  <c r="H516" i="2" s="1"/>
  <c r="G494" i="1" s="1"/>
  <c r="H494" i="1" s="1"/>
  <c r="I494" i="1" s="1"/>
  <c r="H514" i="2"/>
  <c r="H513" i="2"/>
  <c r="H509" i="2"/>
  <c r="H508" i="2"/>
  <c r="H507" i="2"/>
  <c r="H506" i="2"/>
  <c r="H505" i="2"/>
  <c r="H510" i="2" s="1"/>
  <c r="G493" i="1" s="1"/>
  <c r="H493" i="1" s="1"/>
  <c r="H500" i="2"/>
  <c r="H499" i="2"/>
  <c r="H498" i="2"/>
  <c r="H501" i="2" s="1"/>
  <c r="G492" i="1" s="1"/>
  <c r="H492" i="1" s="1"/>
  <c r="I492" i="1" s="1"/>
  <c r="H494" i="2"/>
  <c r="H493" i="2"/>
  <c r="H492" i="2"/>
  <c r="H495" i="2" s="1"/>
  <c r="H488" i="2"/>
  <c r="H487" i="2"/>
  <c r="H486" i="2"/>
  <c r="H489" i="2" s="1"/>
  <c r="G490" i="1" s="1"/>
  <c r="H490" i="1" s="1"/>
  <c r="I490" i="1" s="1"/>
  <c r="H482" i="2"/>
  <c r="H481" i="2"/>
  <c r="H480" i="2"/>
  <c r="H483" i="2" s="1"/>
  <c r="G489" i="1" s="1"/>
  <c r="H489" i="1" s="1"/>
  <c r="H476" i="2"/>
  <c r="H475" i="2"/>
  <c r="H474" i="2"/>
  <c r="H477" i="2" s="1"/>
  <c r="G488" i="1" s="1"/>
  <c r="H488" i="1" s="1"/>
  <c r="I488" i="1" s="1"/>
  <c r="H470" i="2"/>
  <c r="H469" i="2"/>
  <c r="H468" i="2"/>
  <c r="H471" i="2" s="1"/>
  <c r="H464" i="2"/>
  <c r="H463" i="2"/>
  <c r="H462" i="2"/>
  <c r="H465" i="2" s="1"/>
  <c r="G486" i="1" s="1"/>
  <c r="H486" i="1" s="1"/>
  <c r="I486" i="1" s="1"/>
  <c r="H458" i="2"/>
  <c r="H457" i="2"/>
  <c r="H456" i="2"/>
  <c r="H459" i="2" s="1"/>
  <c r="G485" i="1" s="1"/>
  <c r="H485" i="1" s="1"/>
  <c r="I485" i="1" s="1"/>
  <c r="H452" i="2"/>
  <c r="H451" i="2"/>
  <c r="H450" i="2"/>
  <c r="H453" i="2" s="1"/>
  <c r="G484" i="1" s="1"/>
  <c r="H446" i="2"/>
  <c r="H445" i="2"/>
  <c r="H444" i="2"/>
  <c r="H447" i="2" s="1"/>
  <c r="H439" i="2"/>
  <c r="H438" i="2"/>
  <c r="H437" i="2"/>
  <c r="H440" i="2" s="1"/>
  <c r="G482" i="1" s="1"/>
  <c r="H482" i="1" s="1"/>
  <c r="I482" i="1" s="1"/>
  <c r="H433" i="2"/>
  <c r="H432" i="2"/>
  <c r="H431" i="2"/>
  <c r="H434" i="2" s="1"/>
  <c r="G481" i="1" s="1"/>
  <c r="H481" i="1" s="1"/>
  <c r="H427" i="2"/>
  <c r="H426" i="2"/>
  <c r="H425" i="2"/>
  <c r="H424" i="2"/>
  <c r="H428" i="2" s="1"/>
  <c r="G480" i="1" s="1"/>
  <c r="H480" i="1" s="1"/>
  <c r="I480" i="1" s="1"/>
  <c r="H420" i="2"/>
  <c r="H419" i="2"/>
  <c r="H418" i="2"/>
  <c r="H417" i="2"/>
  <c r="H421" i="2" s="1"/>
  <c r="G477" i="1" s="1"/>
  <c r="H477" i="1" s="1"/>
  <c r="I477" i="1" s="1"/>
  <c r="H413" i="2"/>
  <c r="H412" i="2"/>
  <c r="H411" i="2"/>
  <c r="H410" i="2"/>
  <c r="H414" i="2" s="1"/>
  <c r="G406" i="2"/>
  <c r="H406" i="2" s="1"/>
  <c r="H405" i="2"/>
  <c r="H404" i="2"/>
  <c r="H407" i="2" s="1"/>
  <c r="G476" i="1" s="1"/>
  <c r="H476" i="1" s="1"/>
  <c r="I476" i="1" s="1"/>
  <c r="H403" i="2"/>
  <c r="H399" i="2"/>
  <c r="H398" i="2"/>
  <c r="H400" i="2" s="1"/>
  <c r="G497" i="1" s="1"/>
  <c r="H397" i="2"/>
  <c r="G393" i="2"/>
  <c r="H393" i="2" s="1"/>
  <c r="H392" i="2"/>
  <c r="H391" i="2"/>
  <c r="H387" i="2"/>
  <c r="H388" i="2" s="1"/>
  <c r="G465" i="1" s="1"/>
  <c r="H465" i="1" s="1"/>
  <c r="I465" i="1" s="1"/>
  <c r="H386" i="2"/>
  <c r="H385" i="2"/>
  <c r="H381" i="2"/>
  <c r="H382" i="2" s="1"/>
  <c r="H380" i="2"/>
  <c r="H379" i="2"/>
  <c r="H375" i="2"/>
  <c r="H376" i="2" s="1"/>
  <c r="G463" i="1" s="1"/>
  <c r="H463" i="1" s="1"/>
  <c r="I463" i="1" s="1"/>
  <c r="H374" i="2"/>
  <c r="H373" i="2"/>
  <c r="H368" i="2"/>
  <c r="H367" i="2"/>
  <c r="H366" i="2"/>
  <c r="H365" i="2"/>
  <c r="H369" i="2" s="1"/>
  <c r="H361" i="2"/>
  <c r="H360" i="2"/>
  <c r="H359" i="2"/>
  <c r="H358" i="2"/>
  <c r="H362" i="2" s="1"/>
  <c r="G444" i="1" s="1"/>
  <c r="H444" i="1" s="1"/>
  <c r="I444" i="1" s="1"/>
  <c r="H354" i="2"/>
  <c r="H353" i="2"/>
  <c r="H352" i="2"/>
  <c r="H351" i="2"/>
  <c r="H355" i="2" s="1"/>
  <c r="G443" i="1" s="1"/>
  <c r="H443" i="1" s="1"/>
  <c r="H347" i="2"/>
  <c r="H346" i="2"/>
  <c r="H348" i="2" s="1"/>
  <c r="H345" i="2"/>
  <c r="H341" i="2"/>
  <c r="H340" i="2"/>
  <c r="H342" i="2" s="1"/>
  <c r="G427" i="1" s="1"/>
  <c r="H427" i="1" s="1"/>
  <c r="I427" i="1" s="1"/>
  <c r="H339" i="2"/>
  <c r="H335" i="2"/>
  <c r="H334" i="2"/>
  <c r="H336" i="2" s="1"/>
  <c r="H333" i="2"/>
  <c r="H329" i="2"/>
  <c r="H328" i="2"/>
  <c r="H330" i="2" s="1"/>
  <c r="G425" i="1" s="1"/>
  <c r="H425" i="1" s="1"/>
  <c r="H327" i="2"/>
  <c r="H323" i="2"/>
  <c r="H322" i="2"/>
  <c r="H321" i="2"/>
  <c r="H320" i="2"/>
  <c r="H324" i="2" s="1"/>
  <c r="G423" i="1" s="1"/>
  <c r="H423" i="1" s="1"/>
  <c r="I423" i="1" s="1"/>
  <c r="H316" i="2"/>
  <c r="H315" i="2"/>
  <c r="H314" i="2"/>
  <c r="H313" i="2"/>
  <c r="H317" i="2" s="1"/>
  <c r="G422" i="1" s="1"/>
  <c r="H422" i="1" s="1"/>
  <c r="I422" i="1" s="1"/>
  <c r="H309" i="2"/>
  <c r="H308" i="2"/>
  <c r="H307" i="2"/>
  <c r="H306" i="2"/>
  <c r="H310" i="2" s="1"/>
  <c r="G421" i="1" s="1"/>
  <c r="H421" i="1" s="1"/>
  <c r="I421" i="1" s="1"/>
  <c r="H302" i="2"/>
  <c r="H301" i="2"/>
  <c r="H300" i="2"/>
  <c r="H299" i="2"/>
  <c r="H303" i="2" s="1"/>
  <c r="H295" i="2"/>
  <c r="H294" i="2"/>
  <c r="H293" i="2"/>
  <c r="H292" i="2"/>
  <c r="H296" i="2" s="1"/>
  <c r="H284" i="2"/>
  <c r="H283" i="2"/>
  <c r="H282" i="2"/>
  <c r="H281" i="2"/>
  <c r="H285" i="2" s="1"/>
  <c r="G417" i="1" s="1"/>
  <c r="H417" i="1" s="1"/>
  <c r="I417" i="1" s="1"/>
  <c r="H277" i="2"/>
  <c r="H276" i="2"/>
  <c r="H275" i="2"/>
  <c r="H274" i="2"/>
  <c r="H278" i="2" s="1"/>
  <c r="G416" i="1" s="1"/>
  <c r="H416" i="1" s="1"/>
  <c r="I416" i="1" s="1"/>
  <c r="H270" i="2"/>
  <c r="H269" i="2"/>
  <c r="H268" i="2"/>
  <c r="H271" i="2" s="1"/>
  <c r="H264" i="2"/>
  <c r="H263" i="2"/>
  <c r="H262" i="2"/>
  <c r="H265" i="2" s="1"/>
  <c r="H257" i="2"/>
  <c r="H256" i="2"/>
  <c r="H255" i="2"/>
  <c r="H258" i="2" s="1"/>
  <c r="H250" i="2"/>
  <c r="H249" i="2"/>
  <c r="H248" i="2"/>
  <c r="H247" i="2"/>
  <c r="H246" i="2"/>
  <c r="H251" i="2" s="1"/>
  <c r="H242" i="2"/>
  <c r="H243" i="2" s="1"/>
  <c r="H241" i="2"/>
  <c r="H240" i="2"/>
  <c r="H236" i="2"/>
  <c r="H235" i="2"/>
  <c r="H234" i="2"/>
  <c r="H233" i="2"/>
  <c r="H237" i="2" s="1"/>
  <c r="H229" i="2"/>
  <c r="H228" i="2"/>
  <c r="H227" i="2"/>
  <c r="H226" i="2"/>
  <c r="H230" i="2" s="1"/>
  <c r="H222" i="2"/>
  <c r="H221" i="2"/>
  <c r="H220" i="2"/>
  <c r="H219" i="2"/>
  <c r="H223" i="2" s="1"/>
  <c r="H213" i="2"/>
  <c r="H212" i="2"/>
  <c r="H211" i="2"/>
  <c r="H210" i="2"/>
  <c r="H214" i="2" s="1"/>
  <c r="H206" i="2"/>
  <c r="H205" i="2"/>
  <c r="H204" i="2"/>
  <c r="H203" i="2"/>
  <c r="H207" i="2" s="1"/>
  <c r="H199" i="2"/>
  <c r="H198" i="2"/>
  <c r="H197" i="2"/>
  <c r="H196" i="2"/>
  <c r="H200" i="2" s="1"/>
  <c r="H195" i="2"/>
  <c r="H194" i="2"/>
  <c r="H190" i="2"/>
  <c r="H189" i="2"/>
  <c r="H188" i="2"/>
  <c r="H187" i="2"/>
  <c r="H186" i="2"/>
  <c r="H191" i="2" s="1"/>
  <c r="G136" i="1" s="1"/>
  <c r="H136" i="1" s="1"/>
  <c r="I136" i="1" s="1"/>
  <c r="H185" i="2"/>
  <c r="H181" i="2"/>
  <c r="H180" i="2"/>
  <c r="H179" i="2"/>
  <c r="H178" i="2"/>
  <c r="H177" i="2"/>
  <c r="H182" i="2" s="1"/>
  <c r="H173" i="2"/>
  <c r="H172" i="2"/>
  <c r="H171" i="2"/>
  <c r="H170" i="2"/>
  <c r="H174" i="2" s="1"/>
  <c r="H169" i="2"/>
  <c r="H165" i="2"/>
  <c r="H164" i="2"/>
  <c r="H163" i="2"/>
  <c r="H162" i="2"/>
  <c r="H161" i="2"/>
  <c r="H160" i="2"/>
  <c r="H159" i="2"/>
  <c r="H158" i="2"/>
  <c r="H157" i="2"/>
  <c r="H166" i="2" s="1"/>
  <c r="G199" i="1" s="1"/>
  <c r="H199" i="1" s="1"/>
  <c r="I199" i="1" s="1"/>
  <c r="H153" i="2"/>
  <c r="H152" i="2"/>
  <c r="H151" i="2"/>
  <c r="H150" i="2"/>
  <c r="H154" i="2" s="1"/>
  <c r="G560" i="1" s="1"/>
  <c r="H560" i="1" s="1"/>
  <c r="I560" i="1" s="1"/>
  <c r="H146" i="2"/>
  <c r="H145" i="2"/>
  <c r="H144" i="2"/>
  <c r="H143" i="2"/>
  <c r="H142" i="2"/>
  <c r="H141" i="2"/>
  <c r="H140" i="2"/>
  <c r="H139" i="2"/>
  <c r="H147" i="2" s="1"/>
  <c r="G559" i="1" s="1"/>
  <c r="H559" i="1" s="1"/>
  <c r="I559" i="1" s="1"/>
  <c r="H135" i="2"/>
  <c r="H134" i="2"/>
  <c r="H136" i="2" s="1"/>
  <c r="H129" i="2"/>
  <c r="H128" i="2"/>
  <c r="H127" i="2"/>
  <c r="H126" i="2"/>
  <c r="H125" i="2"/>
  <c r="H124" i="2"/>
  <c r="H123" i="2"/>
  <c r="H122" i="2"/>
  <c r="H121" i="2"/>
  <c r="H130" i="2" s="1"/>
  <c r="G550" i="1" s="1"/>
  <c r="H117" i="2"/>
  <c r="H116" i="2"/>
  <c r="H115" i="2"/>
  <c r="H114" i="2"/>
  <c r="H113" i="2"/>
  <c r="H118" i="2" s="1"/>
  <c r="G549" i="1" s="1"/>
  <c r="H549" i="1" s="1"/>
  <c r="I549" i="1" s="1"/>
  <c r="H112" i="2"/>
  <c r="H108" i="2"/>
  <c r="H107" i="2"/>
  <c r="H106" i="2"/>
  <c r="H105" i="2"/>
  <c r="H109" i="2" s="1"/>
  <c r="H100" i="2"/>
  <c r="H99" i="2"/>
  <c r="H98" i="2"/>
  <c r="H97" i="2"/>
  <c r="H96" i="2"/>
  <c r="H101" i="2" s="1"/>
  <c r="H95" i="2"/>
  <c r="H91" i="2"/>
  <c r="H90" i="2"/>
  <c r="H89" i="2"/>
  <c r="H88" i="2"/>
  <c r="H87" i="2"/>
  <c r="H86" i="2"/>
  <c r="H92" i="2" s="1"/>
  <c r="H82" i="2"/>
  <c r="H81" i="2"/>
  <c r="H80" i="2"/>
  <c r="H79" i="2"/>
  <c r="H78" i="2"/>
  <c r="H83" i="2" s="1"/>
  <c r="H74" i="2"/>
  <c r="H73" i="2"/>
  <c r="H72" i="2"/>
  <c r="H71" i="2"/>
  <c r="H70" i="2"/>
  <c r="H75" i="2" s="1"/>
  <c r="H66" i="2"/>
  <c r="H65" i="2"/>
  <c r="H64" i="2"/>
  <c r="H63" i="2"/>
  <c r="H67" i="2" s="1"/>
  <c r="H59" i="2"/>
  <c r="H58" i="2"/>
  <c r="H57" i="2"/>
  <c r="H56" i="2"/>
  <c r="H55" i="2"/>
  <c r="H54" i="2"/>
  <c r="H53" i="2"/>
  <c r="H60" i="2" s="1"/>
  <c r="H48" i="2"/>
  <c r="H47" i="2"/>
  <c r="H46" i="2"/>
  <c r="H45" i="2"/>
  <c r="F44" i="2"/>
  <c r="H44" i="2" s="1"/>
  <c r="H43" i="2"/>
  <c r="H49" i="2" s="1"/>
  <c r="G263" i="1" s="1"/>
  <c r="H263" i="1" s="1"/>
  <c r="I263" i="1" s="1"/>
  <c r="H39" i="2"/>
  <c r="H38" i="2"/>
  <c r="H37" i="2"/>
  <c r="F36" i="2"/>
  <c r="H36" i="2" s="1"/>
  <c r="H35" i="2"/>
  <c r="H31" i="2"/>
  <c r="H30" i="2"/>
  <c r="H32" i="2" s="1"/>
  <c r="H26" i="2"/>
  <c r="H25" i="2"/>
  <c r="H24" i="2"/>
  <c r="H23" i="2"/>
  <c r="H27" i="2" s="1"/>
  <c r="H19" i="2"/>
  <c r="H18" i="2"/>
  <c r="H17" i="2"/>
  <c r="H16" i="2"/>
  <c r="H20" i="2" s="1"/>
  <c r="H12" i="2"/>
  <c r="H11" i="2"/>
  <c r="H13" i="2" s="1"/>
  <c r="H574" i="1"/>
  <c r="I574" i="1" s="1"/>
  <c r="H573" i="1"/>
  <c r="I573" i="1" s="1"/>
  <c r="H570" i="1"/>
  <c r="I570" i="1" s="1"/>
  <c r="H569" i="1"/>
  <c r="F569" i="1"/>
  <c r="I569" i="1" s="1"/>
  <c r="I568" i="1"/>
  <c r="H568" i="1"/>
  <c r="G567" i="1"/>
  <c r="H567" i="1" s="1"/>
  <c r="I567" i="1" s="1"/>
  <c r="I564" i="1"/>
  <c r="H564" i="1"/>
  <c r="I563" i="1"/>
  <c r="I565" i="1" s="1"/>
  <c r="C33" i="4" s="1"/>
  <c r="C53" i="5" s="1"/>
  <c r="H563" i="1"/>
  <c r="H558" i="1"/>
  <c r="F558" i="1"/>
  <c r="I558" i="1" s="1"/>
  <c r="I557" i="1"/>
  <c r="H557" i="1"/>
  <c r="F557" i="1"/>
  <c r="H556" i="1"/>
  <c r="I556" i="1" s="1"/>
  <c r="F556" i="1"/>
  <c r="H555" i="1"/>
  <c r="F555" i="1"/>
  <c r="I555" i="1" s="1"/>
  <c r="H554" i="1"/>
  <c r="F554" i="1"/>
  <c r="I554" i="1" s="1"/>
  <c r="H551" i="1"/>
  <c r="I551" i="1" s="1"/>
  <c r="H550" i="1"/>
  <c r="I550" i="1" s="1"/>
  <c r="H548" i="1"/>
  <c r="I548" i="1" s="1"/>
  <c r="H547" i="1"/>
  <c r="I547" i="1" s="1"/>
  <c r="F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F537" i="1"/>
  <c r="H536" i="1"/>
  <c r="I536" i="1" s="1"/>
  <c r="H535" i="1"/>
  <c r="I535" i="1" s="1"/>
  <c r="H534" i="1"/>
  <c r="I534" i="1" s="1"/>
  <c r="H533" i="1"/>
  <c r="I533" i="1" s="1"/>
  <c r="G527" i="1"/>
  <c r="H527" i="1" s="1"/>
  <c r="I527" i="1" s="1"/>
  <c r="H526" i="1"/>
  <c r="I526" i="1" s="1"/>
  <c r="H525" i="1"/>
  <c r="I525" i="1" s="1"/>
  <c r="I523" i="1"/>
  <c r="H523" i="1"/>
  <c r="G522" i="1"/>
  <c r="H522" i="1" s="1"/>
  <c r="I522" i="1" s="1"/>
  <c r="I520" i="1"/>
  <c r="H520" i="1"/>
  <c r="G519" i="1"/>
  <c r="H519" i="1" s="1"/>
  <c r="I519" i="1" s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G506" i="1"/>
  <c r="H506" i="1" s="1"/>
  <c r="I506" i="1" s="1"/>
  <c r="H503" i="1"/>
  <c r="I503" i="1" s="1"/>
  <c r="I501" i="1"/>
  <c r="H501" i="1"/>
  <c r="G500" i="1"/>
  <c r="H500" i="1" s="1"/>
  <c r="I500" i="1" s="1"/>
  <c r="H499" i="1"/>
  <c r="I499" i="1" s="1"/>
  <c r="H497" i="1"/>
  <c r="I497" i="1" s="1"/>
  <c r="G496" i="1"/>
  <c r="H496" i="1" s="1"/>
  <c r="I496" i="1" s="1"/>
  <c r="I493" i="1"/>
  <c r="G491" i="1"/>
  <c r="H491" i="1" s="1"/>
  <c r="I491" i="1" s="1"/>
  <c r="I489" i="1"/>
  <c r="G487" i="1"/>
  <c r="H487" i="1" s="1"/>
  <c r="I487" i="1" s="1"/>
  <c r="H484" i="1"/>
  <c r="I484" i="1" s="1"/>
  <c r="G483" i="1"/>
  <c r="H483" i="1" s="1"/>
  <c r="I483" i="1" s="1"/>
  <c r="I481" i="1"/>
  <c r="G478" i="1"/>
  <c r="H478" i="1" s="1"/>
  <c r="I478" i="1" s="1"/>
  <c r="H472" i="1"/>
  <c r="I472" i="1" s="1"/>
  <c r="H471" i="1"/>
  <c r="I471" i="1" s="1"/>
  <c r="H470" i="1"/>
  <c r="I470" i="1" s="1"/>
  <c r="H469" i="1"/>
  <c r="I469" i="1" s="1"/>
  <c r="H468" i="1"/>
  <c r="I468" i="1" s="1"/>
  <c r="H467" i="1"/>
  <c r="I467" i="1" s="1"/>
  <c r="H466" i="1"/>
  <c r="I466" i="1" s="1"/>
  <c r="G464" i="1"/>
  <c r="H464" i="1" s="1"/>
  <c r="I464" i="1" s="1"/>
  <c r="I462" i="1"/>
  <c r="H462" i="1"/>
  <c r="H461" i="1"/>
  <c r="I461" i="1" s="1"/>
  <c r="I460" i="1"/>
  <c r="H460" i="1"/>
  <c r="H459" i="1"/>
  <c r="I459" i="1" s="1"/>
  <c r="I458" i="1"/>
  <c r="H458" i="1"/>
  <c r="H457" i="1"/>
  <c r="I457" i="1" s="1"/>
  <c r="I456" i="1"/>
  <c r="H456" i="1"/>
  <c r="H455" i="1"/>
  <c r="I455" i="1" s="1"/>
  <c r="I454" i="1"/>
  <c r="H454" i="1"/>
  <c r="H453" i="1"/>
  <c r="I453" i="1" s="1"/>
  <c r="I452" i="1"/>
  <c r="H452" i="1"/>
  <c r="H451" i="1"/>
  <c r="I451" i="1" s="1"/>
  <c r="I450" i="1"/>
  <c r="H450" i="1"/>
  <c r="H449" i="1"/>
  <c r="I449" i="1" s="1"/>
  <c r="I448" i="1"/>
  <c r="H448" i="1"/>
  <c r="H447" i="1"/>
  <c r="I447" i="1" s="1"/>
  <c r="I446" i="1"/>
  <c r="H446" i="1"/>
  <c r="G445" i="1"/>
  <c r="H445" i="1" s="1"/>
  <c r="I445" i="1" s="1"/>
  <c r="I443" i="1"/>
  <c r="H442" i="1"/>
  <c r="I442" i="1" s="1"/>
  <c r="I441" i="1"/>
  <c r="H441" i="1"/>
  <c r="H439" i="1"/>
  <c r="I439" i="1" s="1"/>
  <c r="H438" i="1"/>
  <c r="I438" i="1" s="1"/>
  <c r="H437" i="1"/>
  <c r="I437" i="1" s="1"/>
  <c r="H436" i="1"/>
  <c r="I436" i="1" s="1"/>
  <c r="H435" i="1"/>
  <c r="I435" i="1" s="1"/>
  <c r="H434" i="1"/>
  <c r="I434" i="1" s="1"/>
  <c r="H433" i="1"/>
  <c r="I433" i="1" s="1"/>
  <c r="H432" i="1"/>
  <c r="I432" i="1" s="1"/>
  <c r="H431" i="1"/>
  <c r="I431" i="1" s="1"/>
  <c r="H430" i="1"/>
  <c r="I430" i="1" s="1"/>
  <c r="I425" i="1"/>
  <c r="H424" i="1"/>
  <c r="I424" i="1" s="1"/>
  <c r="G420" i="1"/>
  <c r="H420" i="1" s="1"/>
  <c r="I420" i="1" s="1"/>
  <c r="I419" i="1"/>
  <c r="H419" i="1"/>
  <c r="G418" i="1"/>
  <c r="H418" i="1" s="1"/>
  <c r="I418" i="1" s="1"/>
  <c r="H415" i="1"/>
  <c r="I415" i="1" s="1"/>
  <c r="I414" i="1"/>
  <c r="H414" i="1"/>
  <c r="H413" i="1"/>
  <c r="I413" i="1" s="1"/>
  <c r="I412" i="1"/>
  <c r="H412" i="1"/>
  <c r="H411" i="1"/>
  <c r="I411" i="1" s="1"/>
  <c r="I410" i="1"/>
  <c r="H410" i="1"/>
  <c r="H409" i="1"/>
  <c r="I409" i="1" s="1"/>
  <c r="I408" i="1"/>
  <c r="H408" i="1"/>
  <c r="H407" i="1"/>
  <c r="I407" i="1" s="1"/>
  <c r="I406" i="1"/>
  <c r="H406" i="1"/>
  <c r="H404" i="1"/>
  <c r="I404" i="1" s="1"/>
  <c r="G404" i="1"/>
  <c r="G403" i="1"/>
  <c r="H403" i="1" s="1"/>
  <c r="I403" i="1" s="1"/>
  <c r="I402" i="1"/>
  <c r="H402" i="1"/>
  <c r="G402" i="1"/>
  <c r="I400" i="1"/>
  <c r="H400" i="1"/>
  <c r="H397" i="1"/>
  <c r="I397" i="1" s="1"/>
  <c r="I396" i="1"/>
  <c r="H396" i="1"/>
  <c r="H395" i="1"/>
  <c r="I395" i="1" s="1"/>
  <c r="I394" i="1"/>
  <c r="H394" i="1"/>
  <c r="G394" i="1"/>
  <c r="I393" i="1"/>
  <c r="H393" i="1"/>
  <c r="G392" i="1"/>
  <c r="H392" i="1" s="1"/>
  <c r="I392" i="1" s="1"/>
  <c r="I391" i="1"/>
  <c r="H391" i="1"/>
  <c r="H390" i="1"/>
  <c r="I390" i="1" s="1"/>
  <c r="G390" i="1"/>
  <c r="I389" i="1"/>
  <c r="H389" i="1"/>
  <c r="I388" i="1"/>
  <c r="H388" i="1"/>
  <c r="G388" i="1"/>
  <c r="H387" i="1"/>
  <c r="I387" i="1" s="1"/>
  <c r="G387" i="1"/>
  <c r="G386" i="1"/>
  <c r="H386" i="1" s="1"/>
  <c r="I386" i="1" s="1"/>
  <c r="I385" i="1"/>
  <c r="H385" i="1"/>
  <c r="G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5" i="1"/>
  <c r="H365" i="1"/>
  <c r="I364" i="1"/>
  <c r="H364" i="1"/>
  <c r="I363" i="1"/>
  <c r="H363" i="1"/>
  <c r="I362" i="1"/>
  <c r="H362" i="1"/>
  <c r="I361" i="1"/>
  <c r="H361" i="1"/>
  <c r="G361" i="1"/>
  <c r="H360" i="1"/>
  <c r="I360" i="1" s="1"/>
  <c r="I359" i="1"/>
  <c r="H359" i="1"/>
  <c r="H358" i="1"/>
  <c r="I358" i="1" s="1"/>
  <c r="I357" i="1"/>
  <c r="H357" i="1"/>
  <c r="H356" i="1"/>
  <c r="I356" i="1" s="1"/>
  <c r="I355" i="1"/>
  <c r="H355" i="1"/>
  <c r="I352" i="1"/>
  <c r="H352" i="1"/>
  <c r="I351" i="1"/>
  <c r="H351" i="1"/>
  <c r="I350" i="1"/>
  <c r="H350" i="1"/>
  <c r="I349" i="1"/>
  <c r="H349" i="1"/>
  <c r="I348" i="1"/>
  <c r="H348" i="1"/>
  <c r="H347" i="1"/>
  <c r="F347" i="1"/>
  <c r="I347" i="1" s="1"/>
  <c r="I346" i="1"/>
  <c r="H346" i="1"/>
  <c r="H345" i="1"/>
  <c r="I345" i="1" s="1"/>
  <c r="I344" i="1"/>
  <c r="H344" i="1"/>
  <c r="H343" i="1"/>
  <c r="I343" i="1" s="1"/>
  <c r="I342" i="1"/>
  <c r="H342" i="1"/>
  <c r="H341" i="1"/>
  <c r="I341" i="1" s="1"/>
  <c r="I340" i="1"/>
  <c r="H340" i="1"/>
  <c r="G340" i="1"/>
  <c r="I339" i="1"/>
  <c r="H339" i="1"/>
  <c r="I338" i="1"/>
  <c r="H338" i="1"/>
  <c r="I337" i="1"/>
  <c r="H337" i="1"/>
  <c r="I336" i="1"/>
  <c r="H336" i="1"/>
  <c r="I335" i="1"/>
  <c r="H335" i="1"/>
  <c r="H334" i="1"/>
  <c r="F334" i="1"/>
  <c r="I334" i="1" s="1"/>
  <c r="I333" i="1"/>
  <c r="H333" i="1"/>
  <c r="F333" i="1"/>
  <c r="I332" i="1"/>
  <c r="H332" i="1"/>
  <c r="I331" i="1"/>
  <c r="H331" i="1"/>
  <c r="I330" i="1"/>
  <c r="H330" i="1"/>
  <c r="I329" i="1"/>
  <c r="H329" i="1"/>
  <c r="I328" i="1"/>
  <c r="H328" i="1"/>
  <c r="F328" i="1"/>
  <c r="H327" i="1"/>
  <c r="I327" i="1" s="1"/>
  <c r="I323" i="1"/>
  <c r="H323" i="1"/>
  <c r="I322" i="1"/>
  <c r="I324" i="1" s="1"/>
  <c r="C27" i="4" s="1"/>
  <c r="C41" i="5" s="1"/>
  <c r="H322" i="1"/>
  <c r="H319" i="1"/>
  <c r="I319" i="1" s="1"/>
  <c r="I317" i="1"/>
  <c r="H317" i="1"/>
  <c r="H316" i="1"/>
  <c r="I316" i="1" s="1"/>
  <c r="I315" i="1"/>
  <c r="H315" i="1"/>
  <c r="H314" i="1"/>
  <c r="I314" i="1" s="1"/>
  <c r="G314" i="1"/>
  <c r="I313" i="1"/>
  <c r="H313" i="1"/>
  <c r="I312" i="1"/>
  <c r="H312" i="1"/>
  <c r="I311" i="1"/>
  <c r="H311" i="1"/>
  <c r="I310" i="1"/>
  <c r="H310" i="1"/>
  <c r="I308" i="1"/>
  <c r="H308" i="1"/>
  <c r="I307" i="1"/>
  <c r="H307" i="1"/>
  <c r="I306" i="1"/>
  <c r="H306" i="1"/>
  <c r="I305" i="1"/>
  <c r="H305" i="1"/>
  <c r="F305" i="1"/>
  <c r="H304" i="1"/>
  <c r="I304" i="1" s="1"/>
  <c r="I303" i="1"/>
  <c r="H303" i="1"/>
  <c r="H302" i="1"/>
  <c r="I302" i="1" s="1"/>
  <c r="G302" i="1"/>
  <c r="I301" i="1"/>
  <c r="H301" i="1"/>
  <c r="I300" i="1"/>
  <c r="H300" i="1"/>
  <c r="I299" i="1"/>
  <c r="H299" i="1"/>
  <c r="I298" i="1"/>
  <c r="H298" i="1"/>
  <c r="I296" i="1"/>
  <c r="H296" i="1"/>
  <c r="I295" i="1"/>
  <c r="H295" i="1"/>
  <c r="I294" i="1"/>
  <c r="H294" i="1"/>
  <c r="I293" i="1"/>
  <c r="H293" i="1"/>
  <c r="F293" i="1"/>
  <c r="H292" i="1"/>
  <c r="I292" i="1" s="1"/>
  <c r="I291" i="1"/>
  <c r="H291" i="1"/>
  <c r="G291" i="1"/>
  <c r="I290" i="1"/>
  <c r="H290" i="1"/>
  <c r="I289" i="1"/>
  <c r="H289" i="1"/>
  <c r="I288" i="1"/>
  <c r="H288" i="1"/>
  <c r="I287" i="1"/>
  <c r="H287" i="1"/>
  <c r="I284" i="1"/>
  <c r="C25" i="4" s="1"/>
  <c r="C37" i="5" s="1"/>
  <c r="I283" i="1"/>
  <c r="H283" i="1"/>
  <c r="F283" i="1"/>
  <c r="I280" i="1"/>
  <c r="H280" i="1"/>
  <c r="H279" i="1"/>
  <c r="I279" i="1" s="1"/>
  <c r="I278" i="1"/>
  <c r="H278" i="1"/>
  <c r="H277" i="1"/>
  <c r="I277" i="1" s="1"/>
  <c r="I276" i="1"/>
  <c r="H276" i="1"/>
  <c r="H275" i="1"/>
  <c r="I275" i="1" s="1"/>
  <c r="I273" i="1"/>
  <c r="H273" i="1"/>
  <c r="H272" i="1"/>
  <c r="I272" i="1" s="1"/>
  <c r="I271" i="1"/>
  <c r="H271" i="1"/>
  <c r="H270" i="1"/>
  <c r="I270" i="1" s="1"/>
  <c r="I269" i="1"/>
  <c r="H269" i="1"/>
  <c r="F269" i="1"/>
  <c r="I268" i="1"/>
  <c r="H268" i="1"/>
  <c r="F268" i="1"/>
  <c r="H267" i="1"/>
  <c r="I267" i="1" s="1"/>
  <c r="I266" i="1"/>
  <c r="H266" i="1"/>
  <c r="H265" i="1"/>
  <c r="I265" i="1" s="1"/>
  <c r="I264" i="1"/>
  <c r="H264" i="1"/>
  <c r="H262" i="1"/>
  <c r="F262" i="1"/>
  <c r="I262" i="1" s="1"/>
  <c r="I261" i="1"/>
  <c r="H261" i="1"/>
  <c r="G261" i="1"/>
  <c r="I260" i="1"/>
  <c r="H260" i="1"/>
  <c r="F260" i="1"/>
  <c r="H259" i="1"/>
  <c r="I259" i="1" s="1"/>
  <c r="I257" i="1"/>
  <c r="H257" i="1"/>
  <c r="H256" i="1"/>
  <c r="I256" i="1" s="1"/>
  <c r="G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G248" i="1"/>
  <c r="H246" i="1"/>
  <c r="F246" i="1"/>
  <c r="I246" i="1" s="1"/>
  <c r="I245" i="1"/>
  <c r="H245" i="1"/>
  <c r="F245" i="1"/>
  <c r="I241" i="1"/>
  <c r="H241" i="1"/>
  <c r="H240" i="1"/>
  <c r="I240" i="1" s="1"/>
  <c r="I238" i="1"/>
  <c r="H238" i="1"/>
  <c r="H237" i="1"/>
  <c r="I237" i="1" s="1"/>
  <c r="I236" i="1"/>
  <c r="H236" i="1"/>
  <c r="H235" i="1"/>
  <c r="I235" i="1" s="1"/>
  <c r="I234" i="1"/>
  <c r="H234" i="1"/>
  <c r="H233" i="1"/>
  <c r="I233" i="1" s="1"/>
  <c r="H232" i="1"/>
  <c r="I231" i="1"/>
  <c r="H231" i="1"/>
  <c r="F231" i="1"/>
  <c r="F232" i="1" s="1"/>
  <c r="I232" i="1" s="1"/>
  <c r="H229" i="1"/>
  <c r="F229" i="1"/>
  <c r="I229" i="1" s="1"/>
  <c r="H228" i="1"/>
  <c r="F228" i="1"/>
  <c r="I228" i="1" s="1"/>
  <c r="I227" i="1"/>
  <c r="H227" i="1"/>
  <c r="F227" i="1"/>
  <c r="I226" i="1"/>
  <c r="H226" i="1"/>
  <c r="F226" i="1"/>
  <c r="H225" i="1"/>
  <c r="I225" i="1" s="1"/>
  <c r="I224" i="1"/>
  <c r="H224" i="1"/>
  <c r="F224" i="1"/>
  <c r="I223" i="1"/>
  <c r="H223" i="1"/>
  <c r="G223" i="1"/>
  <c r="H221" i="1"/>
  <c r="F221" i="1"/>
  <c r="I221" i="1" s="1"/>
  <c r="I220" i="1"/>
  <c r="H220" i="1"/>
  <c r="I219" i="1"/>
  <c r="H219" i="1"/>
  <c r="G219" i="1"/>
  <c r="H218" i="1"/>
  <c r="I218" i="1" s="1"/>
  <c r="G218" i="1"/>
  <c r="I217" i="1"/>
  <c r="H217" i="1"/>
  <c r="I216" i="1"/>
  <c r="H216" i="1"/>
  <c r="G216" i="1"/>
  <c r="H214" i="1"/>
  <c r="F214" i="1"/>
  <c r="I214" i="1" s="1"/>
  <c r="H213" i="1"/>
  <c r="F213" i="1"/>
  <c r="I213" i="1" s="1"/>
  <c r="I212" i="1"/>
  <c r="H212" i="1"/>
  <c r="F212" i="1"/>
  <c r="I211" i="1"/>
  <c r="H211" i="1"/>
  <c r="G210" i="1"/>
  <c r="H210" i="1" s="1"/>
  <c r="I210" i="1" s="1"/>
  <c r="I209" i="1"/>
  <c r="H209" i="1"/>
  <c r="F209" i="1"/>
  <c r="I208" i="1"/>
  <c r="H208" i="1"/>
  <c r="G208" i="1"/>
  <c r="H206" i="1"/>
  <c r="F206" i="1"/>
  <c r="I206" i="1" s="1"/>
  <c r="H205" i="1"/>
  <c r="F205" i="1"/>
  <c r="I205" i="1" s="1"/>
  <c r="I204" i="1"/>
  <c r="H204" i="1"/>
  <c r="H203" i="1"/>
  <c r="I203" i="1" s="1"/>
  <c r="I202" i="1"/>
  <c r="H202" i="1"/>
  <c r="F202" i="1"/>
  <c r="I201" i="1"/>
  <c r="H201" i="1"/>
  <c r="G201" i="1"/>
  <c r="I198" i="1"/>
  <c r="H198" i="1"/>
  <c r="I197" i="1"/>
  <c r="H197" i="1"/>
  <c r="G197" i="1"/>
  <c r="H195" i="1"/>
  <c r="I195" i="1" s="1"/>
  <c r="I194" i="1"/>
  <c r="H194" i="1"/>
  <c r="F194" i="1"/>
  <c r="I193" i="1"/>
  <c r="H193" i="1"/>
  <c r="F193" i="1"/>
  <c r="H192" i="1"/>
  <c r="F192" i="1"/>
  <c r="I192" i="1" s="1"/>
  <c r="I191" i="1"/>
  <c r="H191" i="1"/>
  <c r="I190" i="1"/>
  <c r="H190" i="1"/>
  <c r="G189" i="1"/>
  <c r="H189" i="1" s="1"/>
  <c r="I189" i="1" s="1"/>
  <c r="I185" i="1"/>
  <c r="H185" i="1"/>
  <c r="I183" i="1"/>
  <c r="H183" i="1"/>
  <c r="I182" i="1"/>
  <c r="H182" i="1"/>
  <c r="I181" i="1"/>
  <c r="H181" i="1"/>
  <c r="H180" i="1"/>
  <c r="F180" i="1"/>
  <c r="I180" i="1" s="1"/>
  <c r="I179" i="1"/>
  <c r="H179" i="1"/>
  <c r="H178" i="1"/>
  <c r="I178" i="1" s="1"/>
  <c r="I177" i="1"/>
  <c r="H177" i="1"/>
  <c r="H176" i="1"/>
  <c r="I176" i="1" s="1"/>
  <c r="I175" i="1"/>
  <c r="H175" i="1"/>
  <c r="F175" i="1"/>
  <c r="I173" i="1"/>
  <c r="H173" i="1"/>
  <c r="I172" i="1"/>
  <c r="H172" i="1"/>
  <c r="I171" i="1"/>
  <c r="H171" i="1"/>
  <c r="F171" i="1"/>
  <c r="H170" i="1"/>
  <c r="I170" i="1" s="1"/>
  <c r="I169" i="1"/>
  <c r="H169" i="1"/>
  <c r="H168" i="1"/>
  <c r="F168" i="1"/>
  <c r="I168" i="1" s="1"/>
  <c r="I186" i="1" s="1"/>
  <c r="C22" i="4" s="1"/>
  <c r="C31" i="5" s="1"/>
  <c r="I167" i="1"/>
  <c r="H167" i="1"/>
  <c r="I163" i="1"/>
  <c r="H163" i="1"/>
  <c r="H162" i="1"/>
  <c r="I162" i="1" s="1"/>
  <c r="I160" i="1"/>
  <c r="H160" i="1"/>
  <c r="H159" i="1"/>
  <c r="I159" i="1" s="1"/>
  <c r="I158" i="1"/>
  <c r="H158" i="1"/>
  <c r="F158" i="1"/>
  <c r="I157" i="1"/>
  <c r="H157" i="1"/>
  <c r="I156" i="1"/>
  <c r="H156" i="1"/>
  <c r="I154" i="1"/>
  <c r="H154" i="1"/>
  <c r="I153" i="1"/>
  <c r="H153" i="1"/>
  <c r="I152" i="1"/>
  <c r="H152" i="1"/>
  <c r="I151" i="1"/>
  <c r="H151" i="1"/>
  <c r="I150" i="1"/>
  <c r="H150" i="1"/>
  <c r="F150" i="1"/>
  <c r="H149" i="1"/>
  <c r="F149" i="1"/>
  <c r="I149" i="1" s="1"/>
  <c r="I164" i="1" s="1"/>
  <c r="C21" i="4" s="1"/>
  <c r="C29" i="5" s="1"/>
  <c r="H145" i="1"/>
  <c r="F145" i="1"/>
  <c r="I145" i="1" s="1"/>
  <c r="H144" i="1"/>
  <c r="F144" i="1"/>
  <c r="I144" i="1" s="1"/>
  <c r="I143" i="1"/>
  <c r="H143" i="1"/>
  <c r="H142" i="1"/>
  <c r="I142" i="1" s="1"/>
  <c r="I140" i="1"/>
  <c r="H140" i="1"/>
  <c r="H139" i="1"/>
  <c r="I139" i="1" s="1"/>
  <c r="I138" i="1"/>
  <c r="H138" i="1"/>
  <c r="H137" i="1"/>
  <c r="I137" i="1" s="1"/>
  <c r="I135" i="1"/>
  <c r="H135" i="1"/>
  <c r="G135" i="1"/>
  <c r="H134" i="1"/>
  <c r="I134" i="1" s="1"/>
  <c r="I133" i="1"/>
  <c r="H133" i="1"/>
  <c r="H131" i="1"/>
  <c r="I131" i="1" s="1"/>
  <c r="I130" i="1"/>
  <c r="H130" i="1"/>
  <c r="H129" i="1"/>
  <c r="I129" i="1" s="1"/>
  <c r="I128" i="1"/>
  <c r="H128" i="1"/>
  <c r="H127" i="1"/>
  <c r="I127" i="1" s="1"/>
  <c r="I124" i="1"/>
  <c r="C19" i="4" s="1"/>
  <c r="C25" i="5" s="1"/>
  <c r="I123" i="1"/>
  <c r="H123" i="1"/>
  <c r="I120" i="1"/>
  <c r="H120" i="1"/>
  <c r="H119" i="1"/>
  <c r="I119" i="1" s="1"/>
  <c r="I118" i="1"/>
  <c r="H118" i="1"/>
  <c r="H117" i="1"/>
  <c r="I117" i="1" s="1"/>
  <c r="I116" i="1"/>
  <c r="H116" i="1"/>
  <c r="H114" i="1"/>
  <c r="I114" i="1" s="1"/>
  <c r="I113" i="1"/>
  <c r="H113" i="1"/>
  <c r="H112" i="1"/>
  <c r="I112" i="1" s="1"/>
  <c r="I111" i="1"/>
  <c r="H111" i="1"/>
  <c r="H110" i="1"/>
  <c r="I110" i="1" s="1"/>
  <c r="I108" i="1"/>
  <c r="H108" i="1"/>
  <c r="F108" i="1"/>
  <c r="I107" i="1"/>
  <c r="H107" i="1"/>
  <c r="F107" i="1"/>
  <c r="H106" i="1"/>
  <c r="F106" i="1"/>
  <c r="I106" i="1" s="1"/>
  <c r="I105" i="1"/>
  <c r="H105" i="1"/>
  <c r="I104" i="1"/>
  <c r="H104" i="1"/>
  <c r="I103" i="1"/>
  <c r="H103" i="1"/>
  <c r="I102" i="1"/>
  <c r="H102" i="1"/>
  <c r="H100" i="1"/>
  <c r="F100" i="1"/>
  <c r="I100" i="1" s="1"/>
  <c r="I99" i="1"/>
  <c r="H99" i="1"/>
  <c r="F99" i="1"/>
  <c r="I98" i="1"/>
  <c r="H98" i="1"/>
  <c r="F98" i="1"/>
  <c r="H97" i="1"/>
  <c r="I97" i="1" s="1"/>
  <c r="I96" i="1"/>
  <c r="H96" i="1"/>
  <c r="H95" i="1"/>
  <c r="I95" i="1" s="1"/>
  <c r="I94" i="1"/>
  <c r="H94" i="1"/>
  <c r="H93" i="1"/>
  <c r="I93" i="1" s="1"/>
  <c r="I92" i="1"/>
  <c r="H92" i="1"/>
  <c r="H91" i="1"/>
  <c r="I91" i="1" s="1"/>
  <c r="I88" i="1"/>
  <c r="H88" i="1"/>
  <c r="H87" i="1"/>
  <c r="I87" i="1" s="1"/>
  <c r="I86" i="1"/>
  <c r="H86" i="1"/>
  <c r="H85" i="1"/>
  <c r="I85" i="1" s="1"/>
  <c r="I84" i="1"/>
  <c r="H84" i="1"/>
  <c r="H82" i="1"/>
  <c r="F82" i="1"/>
  <c r="I82" i="1" s="1"/>
  <c r="H81" i="1"/>
  <c r="F81" i="1"/>
  <c r="I81" i="1" s="1"/>
  <c r="I80" i="1"/>
  <c r="H80" i="1"/>
  <c r="F80" i="1"/>
  <c r="I79" i="1"/>
  <c r="H79" i="1"/>
  <c r="H78" i="1"/>
  <c r="F78" i="1"/>
  <c r="I78" i="1" s="1"/>
  <c r="I77" i="1"/>
  <c r="H77" i="1"/>
  <c r="H76" i="1"/>
  <c r="I76" i="1" s="1"/>
  <c r="I75" i="1"/>
  <c r="H75" i="1"/>
  <c r="H74" i="1"/>
  <c r="I74" i="1" s="1"/>
  <c r="I69" i="1"/>
  <c r="H69" i="1"/>
  <c r="I68" i="1"/>
  <c r="H68" i="1"/>
  <c r="F68" i="1"/>
  <c r="H67" i="1"/>
  <c r="F67" i="1"/>
  <c r="I67" i="1" s="1"/>
  <c r="I66" i="1"/>
  <c r="H66" i="1"/>
  <c r="I64" i="1"/>
  <c r="H64" i="1"/>
  <c r="F64" i="1"/>
  <c r="H63" i="1"/>
  <c r="F63" i="1"/>
  <c r="I63" i="1" s="1"/>
  <c r="H62" i="1"/>
  <c r="F62" i="1"/>
  <c r="I62" i="1" s="1"/>
  <c r="I61" i="1"/>
  <c r="I70" i="1" s="1"/>
  <c r="C17" i="4" s="1"/>
  <c r="C21" i="5" s="1"/>
  <c r="H61" i="1"/>
  <c r="I57" i="1"/>
  <c r="H57" i="1"/>
  <c r="H56" i="1"/>
  <c r="F56" i="1"/>
  <c r="I56" i="1" s="1"/>
  <c r="I54" i="1"/>
  <c r="H54" i="1"/>
  <c r="G54" i="1"/>
  <c r="I53" i="1"/>
  <c r="H53" i="1"/>
  <c r="F53" i="1"/>
  <c r="H52" i="1"/>
  <c r="I52" i="1" s="1"/>
  <c r="I51" i="1"/>
  <c r="H51" i="1"/>
  <c r="G51" i="1"/>
  <c r="I50" i="1"/>
  <c r="H50" i="1"/>
  <c r="I49" i="1"/>
  <c r="H49" i="1"/>
  <c r="I48" i="1"/>
  <c r="H48" i="1"/>
  <c r="G48" i="1"/>
  <c r="F48" i="1"/>
  <c r="I47" i="1"/>
  <c r="H47" i="1"/>
  <c r="G47" i="1"/>
  <c r="F47" i="1"/>
  <c r="I46" i="1"/>
  <c r="H46" i="1"/>
  <c r="G45" i="1"/>
  <c r="H45" i="1" s="1"/>
  <c r="I45" i="1" s="1"/>
  <c r="I44" i="1"/>
  <c r="H44" i="1"/>
  <c r="F44" i="1"/>
  <c r="I43" i="1"/>
  <c r="H43" i="1"/>
  <c r="F43" i="1"/>
  <c r="H42" i="1"/>
  <c r="I42" i="1" s="1"/>
  <c r="I41" i="1"/>
  <c r="H41" i="1"/>
  <c r="F41" i="1"/>
  <c r="I39" i="1"/>
  <c r="H39" i="1"/>
  <c r="G39" i="1"/>
  <c r="H38" i="1"/>
  <c r="I38" i="1" s="1"/>
  <c r="G38" i="1"/>
  <c r="G37" i="1"/>
  <c r="H37" i="1" s="1"/>
  <c r="F37" i="1"/>
  <c r="I36" i="1"/>
  <c r="H36" i="1"/>
  <c r="I35" i="1"/>
  <c r="H35" i="1"/>
  <c r="F35" i="1"/>
  <c r="H34" i="1"/>
  <c r="I34" i="1" s="1"/>
  <c r="G34" i="1"/>
  <c r="H33" i="1"/>
  <c r="F33" i="1"/>
  <c r="I33" i="1" s="1"/>
  <c r="I32" i="1"/>
  <c r="H32" i="1"/>
  <c r="G32" i="1"/>
  <c r="I31" i="1"/>
  <c r="H31" i="1"/>
  <c r="G31" i="1"/>
  <c r="H30" i="1"/>
  <c r="G30" i="1"/>
  <c r="F30" i="1"/>
  <c r="I30" i="1" s="1"/>
  <c r="H29" i="1"/>
  <c r="I29" i="1" s="1"/>
  <c r="I28" i="1"/>
  <c r="H28" i="1"/>
  <c r="H27" i="1"/>
  <c r="I27" i="1" s="1"/>
  <c r="G27" i="1"/>
  <c r="I26" i="1"/>
  <c r="H26" i="1"/>
  <c r="K25" i="1"/>
  <c r="I25" i="1"/>
  <c r="H25" i="1"/>
  <c r="F25" i="1"/>
  <c r="I21" i="1"/>
  <c r="H21" i="1"/>
  <c r="H20" i="1"/>
  <c r="I20" i="1" s="1"/>
  <c r="I22" i="1" s="1"/>
  <c r="L11" i="1"/>
  <c r="H11" i="1"/>
  <c r="N31" i="5" l="1"/>
  <c r="J31" i="5"/>
  <c r="F31" i="5"/>
  <c r="M31" i="5"/>
  <c r="I31" i="5"/>
  <c r="E31" i="5"/>
  <c r="L31" i="5"/>
  <c r="H31" i="5"/>
  <c r="K31" i="5"/>
  <c r="G31" i="5"/>
  <c r="C15" i="4"/>
  <c r="I37" i="1"/>
  <c r="I121" i="1"/>
  <c r="C18" i="4" s="1"/>
  <c r="C23" i="5" s="1"/>
  <c r="I281" i="1"/>
  <c r="C24" i="4" s="1"/>
  <c r="C35" i="5" s="1"/>
  <c r="I320" i="1"/>
  <c r="C26" i="4" s="1"/>
  <c r="C39" i="5" s="1"/>
  <c r="L41" i="5"/>
  <c r="H41" i="5"/>
  <c r="K41" i="5"/>
  <c r="G41" i="5"/>
  <c r="N41" i="5"/>
  <c r="J41" i="5"/>
  <c r="F41" i="5"/>
  <c r="M41" i="5"/>
  <c r="I41" i="5"/>
  <c r="E41" i="5"/>
  <c r="O41" i="5" s="1"/>
  <c r="I58" i="1"/>
  <c r="C16" i="4" s="1"/>
  <c r="C19" i="5" s="1"/>
  <c r="I146" i="1"/>
  <c r="C20" i="4" s="1"/>
  <c r="C27" i="5" s="1"/>
  <c r="I552" i="1"/>
  <c r="C31" i="4" s="1"/>
  <c r="C49" i="5" s="1"/>
  <c r="L21" i="5"/>
  <c r="H21" i="5"/>
  <c r="K21" i="5"/>
  <c r="G21" i="5"/>
  <c r="N21" i="5"/>
  <c r="J21" i="5"/>
  <c r="F21" i="5"/>
  <c r="M21" i="5"/>
  <c r="I21" i="5"/>
  <c r="E21" i="5"/>
  <c r="L29" i="5"/>
  <c r="H29" i="5"/>
  <c r="K29" i="5"/>
  <c r="G29" i="5"/>
  <c r="N29" i="5"/>
  <c r="J29" i="5"/>
  <c r="F29" i="5"/>
  <c r="M29" i="5"/>
  <c r="I29" i="5"/>
  <c r="E29" i="5"/>
  <c r="I242" i="1"/>
  <c r="C23" i="4" s="1"/>
  <c r="C33" i="5" s="1"/>
  <c r="I353" i="1"/>
  <c r="C28" i="4" s="1"/>
  <c r="C43" i="5" s="1"/>
  <c r="I398" i="1"/>
  <c r="C29" i="4" s="1"/>
  <c r="C45" i="5" s="1"/>
  <c r="G426" i="1"/>
  <c r="H426" i="1" s="1"/>
  <c r="I426" i="1" s="1"/>
  <c r="I530" i="1" s="1"/>
  <c r="C30" i="4" s="1"/>
  <c r="C47" i="5" s="1"/>
  <c r="G516" i="1"/>
  <c r="H516" i="1" s="1"/>
  <c r="I516" i="1" s="1"/>
  <c r="G524" i="1"/>
  <c r="H524" i="1" s="1"/>
  <c r="I524" i="1" s="1"/>
  <c r="G505" i="1"/>
  <c r="H505" i="1" s="1"/>
  <c r="I505" i="1" s="1"/>
  <c r="I575" i="1"/>
  <c r="C35" i="4" s="1"/>
  <c r="C57" i="5" s="1"/>
  <c r="H394" i="2"/>
  <c r="G473" i="1" s="1"/>
  <c r="H473" i="1" s="1"/>
  <c r="I473" i="1" s="1"/>
  <c r="L37" i="5"/>
  <c r="H37" i="5"/>
  <c r="K37" i="5"/>
  <c r="G37" i="5"/>
  <c r="N37" i="5"/>
  <c r="J37" i="5"/>
  <c r="F37" i="5"/>
  <c r="M37" i="5"/>
  <c r="I37" i="5"/>
  <c r="E37" i="5"/>
  <c r="I561" i="1"/>
  <c r="C32" i="4" s="1"/>
  <c r="C51" i="5" s="1"/>
  <c r="G428" i="1"/>
  <c r="H428" i="1" s="1"/>
  <c r="I428" i="1" s="1"/>
  <c r="G517" i="1"/>
  <c r="H517" i="1" s="1"/>
  <c r="I517" i="1" s="1"/>
  <c r="L25" i="5"/>
  <c r="H25" i="5"/>
  <c r="K25" i="5"/>
  <c r="G25" i="5"/>
  <c r="N25" i="5"/>
  <c r="J25" i="5"/>
  <c r="F25" i="5"/>
  <c r="M25" i="5"/>
  <c r="I25" i="5"/>
  <c r="E25" i="5"/>
  <c r="I571" i="1"/>
  <c r="C34" i="4" s="1"/>
  <c r="C55" i="5" s="1"/>
  <c r="H40" i="2"/>
  <c r="G247" i="1" s="1"/>
  <c r="H247" i="1" s="1"/>
  <c r="I247" i="1" s="1"/>
  <c r="G528" i="1"/>
  <c r="H528" i="1" s="1"/>
  <c r="I528" i="1" s="1"/>
  <c r="G475" i="1"/>
  <c r="H475" i="1" s="1"/>
  <c r="I475" i="1" s="1"/>
  <c r="G521" i="1"/>
  <c r="H521" i="1" s="1"/>
  <c r="I521" i="1" s="1"/>
  <c r="G504" i="1"/>
  <c r="H504" i="1" s="1"/>
  <c r="I504" i="1" s="1"/>
  <c r="N47" i="5" l="1"/>
  <c r="J47" i="5"/>
  <c r="F47" i="5"/>
  <c r="M47" i="5"/>
  <c r="I47" i="5"/>
  <c r="E47" i="5"/>
  <c r="L47" i="5"/>
  <c r="H47" i="5"/>
  <c r="K47" i="5"/>
  <c r="G47" i="5"/>
  <c r="N51" i="5"/>
  <c r="J51" i="5"/>
  <c r="F51" i="5"/>
  <c r="M51" i="5"/>
  <c r="I51" i="5"/>
  <c r="E51" i="5"/>
  <c r="L51" i="5"/>
  <c r="H51" i="5"/>
  <c r="K51" i="5"/>
  <c r="G51" i="5"/>
  <c r="N35" i="5"/>
  <c r="J35" i="5"/>
  <c r="F35" i="5"/>
  <c r="M35" i="5"/>
  <c r="I35" i="5"/>
  <c r="E35" i="5"/>
  <c r="L35" i="5"/>
  <c r="H35" i="5"/>
  <c r="K35" i="5"/>
  <c r="G35" i="5"/>
  <c r="C36" i="4"/>
  <c r="C17" i="5"/>
  <c r="N43" i="5"/>
  <c r="J43" i="5"/>
  <c r="F43" i="5"/>
  <c r="M43" i="5"/>
  <c r="I43" i="5"/>
  <c r="E43" i="5"/>
  <c r="L43" i="5"/>
  <c r="H43" i="5"/>
  <c r="K43" i="5"/>
  <c r="G43" i="5"/>
  <c r="L49" i="5"/>
  <c r="H49" i="5"/>
  <c r="K49" i="5"/>
  <c r="G49" i="5"/>
  <c r="N49" i="5"/>
  <c r="J49" i="5"/>
  <c r="F49" i="5"/>
  <c r="M49" i="5"/>
  <c r="I49" i="5"/>
  <c r="E49" i="5"/>
  <c r="O49" i="5" s="1"/>
  <c r="N23" i="5"/>
  <c r="J23" i="5"/>
  <c r="F23" i="5"/>
  <c r="M23" i="5"/>
  <c r="I23" i="5"/>
  <c r="E23" i="5"/>
  <c r="L23" i="5"/>
  <c r="H23" i="5"/>
  <c r="K23" i="5"/>
  <c r="G23" i="5"/>
  <c r="O37" i="5"/>
  <c r="N57" i="5"/>
  <c r="J57" i="5"/>
  <c r="F57" i="5"/>
  <c r="M57" i="5"/>
  <c r="I57" i="5"/>
  <c r="E57" i="5"/>
  <c r="L57" i="5"/>
  <c r="H57" i="5"/>
  <c r="K57" i="5"/>
  <c r="G57" i="5"/>
  <c r="L33" i="5"/>
  <c r="H33" i="5"/>
  <c r="K33" i="5"/>
  <c r="G33" i="5"/>
  <c r="N33" i="5"/>
  <c r="J33" i="5"/>
  <c r="F33" i="5"/>
  <c r="M33" i="5"/>
  <c r="I33" i="5"/>
  <c r="E33" i="5"/>
  <c r="O21" i="5"/>
  <c r="N27" i="5"/>
  <c r="J27" i="5"/>
  <c r="F27" i="5"/>
  <c r="M27" i="5"/>
  <c r="I27" i="5"/>
  <c r="E27" i="5"/>
  <c r="L27" i="5"/>
  <c r="H27" i="5"/>
  <c r="K27" i="5"/>
  <c r="G27" i="5"/>
  <c r="O31" i="5"/>
  <c r="L45" i="5"/>
  <c r="H45" i="5"/>
  <c r="K45" i="5"/>
  <c r="G45" i="5"/>
  <c r="N45" i="5"/>
  <c r="J45" i="5"/>
  <c r="F45" i="5"/>
  <c r="M45" i="5"/>
  <c r="I45" i="5"/>
  <c r="E45" i="5"/>
  <c r="L55" i="5"/>
  <c r="H55" i="5"/>
  <c r="K55" i="5"/>
  <c r="G55" i="5"/>
  <c r="N55" i="5"/>
  <c r="J55" i="5"/>
  <c r="F55" i="5"/>
  <c r="M55" i="5"/>
  <c r="I55" i="5"/>
  <c r="E55" i="5"/>
  <c r="O55" i="5" s="1"/>
  <c r="O25" i="5"/>
  <c r="O29" i="5"/>
  <c r="N19" i="5"/>
  <c r="J19" i="5"/>
  <c r="F19" i="5"/>
  <c r="M19" i="5"/>
  <c r="I19" i="5"/>
  <c r="E19" i="5"/>
  <c r="O19" i="5" s="1"/>
  <c r="L19" i="5"/>
  <c r="H19" i="5"/>
  <c r="K19" i="5"/>
  <c r="G19" i="5"/>
  <c r="N39" i="5"/>
  <c r="J39" i="5"/>
  <c r="F39" i="5"/>
  <c r="M39" i="5"/>
  <c r="I39" i="5"/>
  <c r="E39" i="5"/>
  <c r="L39" i="5"/>
  <c r="H39" i="5"/>
  <c r="K39" i="5"/>
  <c r="G39" i="5"/>
  <c r="I576" i="1"/>
  <c r="O35" i="5" l="1"/>
  <c r="O45" i="5"/>
  <c r="O33" i="5"/>
  <c r="O57" i="5"/>
  <c r="O23" i="5"/>
  <c r="C59" i="5"/>
  <c r="D18" i="5"/>
  <c r="L17" i="5"/>
  <c r="H17" i="5"/>
  <c r="K17" i="5"/>
  <c r="G17" i="5"/>
  <c r="N17" i="5"/>
  <c r="J17" i="5"/>
  <c r="F17" i="5"/>
  <c r="M17" i="5"/>
  <c r="I17" i="5"/>
  <c r="E17" i="5"/>
  <c r="O27" i="5"/>
  <c r="O47" i="5"/>
  <c r="O39" i="5"/>
  <c r="O43" i="5"/>
  <c r="O51" i="5"/>
  <c r="M54" i="5" l="1"/>
  <c r="M53" i="5" s="1"/>
  <c r="M59" i="5" s="1"/>
  <c r="G59" i="5"/>
  <c r="G54" i="5"/>
  <c r="G53" i="5" s="1"/>
  <c r="F54" i="5"/>
  <c r="F53" i="5" s="1"/>
  <c r="F59" i="5" s="1"/>
  <c r="K54" i="5"/>
  <c r="K53" i="5" s="1"/>
  <c r="K59" i="5" s="1"/>
  <c r="D54" i="5"/>
  <c r="D42" i="5"/>
  <c r="D32" i="5"/>
  <c r="D30" i="5"/>
  <c r="D26" i="5"/>
  <c r="D22" i="5"/>
  <c r="D38" i="5"/>
  <c r="D36" i="5"/>
  <c r="D46" i="5"/>
  <c r="D40" i="5"/>
  <c r="D52" i="5"/>
  <c r="D44" i="5"/>
  <c r="D48" i="5"/>
  <c r="D50" i="5"/>
  <c r="D28" i="5"/>
  <c r="D20" i="5"/>
  <c r="D61" i="5" s="1"/>
  <c r="D24" i="5"/>
  <c r="D58" i="5"/>
  <c r="D56" i="5"/>
  <c r="D34" i="5"/>
  <c r="O17" i="5"/>
  <c r="E54" i="5"/>
  <c r="J54" i="5"/>
  <c r="J53" i="5" s="1"/>
  <c r="J59" i="5" s="1"/>
  <c r="H59" i="5"/>
  <c r="H54" i="5"/>
  <c r="H53" i="5" s="1"/>
  <c r="I54" i="5"/>
  <c r="I53" i="5" s="1"/>
  <c r="I59" i="5" s="1"/>
  <c r="N59" i="5"/>
  <c r="N54" i="5"/>
  <c r="N53" i="5" s="1"/>
  <c r="L54" i="5"/>
  <c r="L53" i="5" s="1"/>
  <c r="L59" i="5" s="1"/>
  <c r="K60" i="5" l="1"/>
  <c r="M60" i="5"/>
  <c r="J60" i="5"/>
  <c r="F60" i="5"/>
  <c r="I60" i="5"/>
  <c r="L60" i="5"/>
  <c r="H60" i="5"/>
  <c r="O54" i="5"/>
  <c r="E53" i="5"/>
  <c r="N60" i="5"/>
  <c r="G60" i="5"/>
  <c r="O53" i="5" l="1"/>
  <c r="E59" i="5"/>
  <c r="E61" i="5" l="1"/>
  <c r="F61" i="5" s="1"/>
  <c r="G61" i="5" s="1"/>
  <c r="H61" i="5" s="1"/>
  <c r="I61" i="5" s="1"/>
  <c r="J61" i="5" s="1"/>
  <c r="K61" i="5" s="1"/>
  <c r="L61" i="5" s="1"/>
  <c r="M61" i="5" s="1"/>
  <c r="N61" i="5" s="1"/>
  <c r="E60" i="5"/>
  <c r="O60" i="5" s="1"/>
  <c r="O59" i="5"/>
</calcChain>
</file>

<file path=xl/sharedStrings.xml><?xml version="1.0" encoding="utf-8"?>
<sst xmlns="http://schemas.openxmlformats.org/spreadsheetml/2006/main" count="4477" uniqueCount="1429">
  <si>
    <t>SERVIÇO PUBLICO FEDERAL</t>
  </si>
  <si>
    <t>INSTITUTO FEDERAL DE EDUCAÇÃO, CIÊNCIA E TECNOLOGIA DE MATO GROSSO</t>
  </si>
  <si>
    <t>CAMPUS AVANÇADO TANGARÁ DA SERRA</t>
  </si>
  <si>
    <t>PLANILHA DE ESTIMATIVA DE CUSTO</t>
  </si>
  <si>
    <t>NÃO DESONERADO</t>
  </si>
  <si>
    <t>OBRA: REFORMA DO CAMPUS AVANÇADOS TANGARÁ DA SERRA</t>
  </si>
  <si>
    <t>LOCAL: Rua 28, 980 N, Vila Horizonte, Tangará da Serra/MT</t>
  </si>
  <si>
    <t>DATA: JANEIRO/2019</t>
  </si>
  <si>
    <t>SINAPI DATA REFERÊNCIA TÉCNICA: 19/01/2019</t>
  </si>
  <si>
    <t>BDI=19,03%</t>
  </si>
  <si>
    <t>ENCARGOS SOCIAIS SOBRE PREÇOS DA MÃO-DE-OBRA: 118,57%(HORA) 75,25%(MÊS)</t>
  </si>
  <si>
    <t>ORSE DEZEMBRO/2018</t>
  </si>
  <si>
    <t>ITEM</t>
  </si>
  <si>
    <t>CÓDIGO</t>
  </si>
  <si>
    <t>FONTE</t>
  </si>
  <si>
    <t>DESCRIÇÃO DETALHADA</t>
  </si>
  <si>
    <t>UND</t>
  </si>
  <si>
    <t>QTD</t>
  </si>
  <si>
    <t>VALOR UNIT. S/ BDI</t>
  </si>
  <si>
    <t>VALOR UNIT. C/ BDI</t>
  </si>
  <si>
    <t>VALOR TOTAL R$</t>
  </si>
  <si>
    <t>1.0</t>
  </si>
  <si>
    <t>SERVIÇOS PRELIMINAR</t>
  </si>
  <si>
    <t>1.1</t>
  </si>
  <si>
    <t>74209/001</t>
  </si>
  <si>
    <t>SINAPI</t>
  </si>
  <si>
    <t>PLACA DE OBRA EM CHAPA DE ACO GALVANIZADO</t>
  </si>
  <si>
    <t>M2</t>
  </si>
  <si>
    <t>1.2</t>
  </si>
  <si>
    <t>EXECUÇÃO DE DEPÓSITO EM CANTEIRO DE OBRA EM CHAPA DE MADEIRA COMPENSADA, NÃO INCLUSO MOBILIÁRIO.</t>
  </si>
  <si>
    <t>TOTAL SERVIÇOS PRELIMINAR</t>
  </si>
  <si>
    <t>R$</t>
  </si>
  <si>
    <t>2.0</t>
  </si>
  <si>
    <t>DEMOLIÇÃO/REMOÇÃO</t>
  </si>
  <si>
    <t>ADMINISTRAÇÃO</t>
  </si>
  <si>
    <t>2.1</t>
  </si>
  <si>
    <t>DEMOLIÇÃO DE ALVENARIA DE BLOCO FURADO, DE FORMA MANUAL, SEM REAPROVEITAMENTO (ELEMENTOS CERAMICOS VAZADOS)</t>
  </si>
  <si>
    <t>M3</t>
  </si>
  <si>
    <t>2.2</t>
  </si>
  <si>
    <t>DEMOLIÇÃO DE REVESTIMENTO CERÂMICO, DE FORMA MANUAL, SEM REAPROVEITAMENTO</t>
  </si>
  <si>
    <t>2.3</t>
  </si>
  <si>
    <t>COMP.080</t>
  </si>
  <si>
    <t>COMPOSIÇÃO</t>
  </si>
  <si>
    <t>RETIRADA DE PLACAS DIVISORIAS DE GRANILITE, MARMORE</t>
  </si>
  <si>
    <t>2.4</t>
  </si>
  <si>
    <t>REMOÇÃO DE LOUÇAS, DE FORMA MANUAL, SEM REAPROVEITAMENTO (vaso e lavatório)</t>
  </si>
  <si>
    <t>UN</t>
  </si>
  <si>
    <t>2.5</t>
  </si>
  <si>
    <t>REMOÇÃO DE LOUÇAS, DE FORMA MANUAL, SEM REAPROVEITAMENTO (secret. Recepção)</t>
  </si>
  <si>
    <t>2.6</t>
  </si>
  <si>
    <t>COMP.077</t>
  </si>
  <si>
    <t>RETIRADA DE CAIXAS DE CONCRETO DE AR CONDICIONADO</t>
  </si>
  <si>
    <t>2.7</t>
  </si>
  <si>
    <t>COMP.078</t>
  </si>
  <si>
    <t>REMOCAO DE DISPOSITIVOS PARA FUNCIONAMENTO DE APARELHOS SANITARIOS</t>
  </si>
  <si>
    <t>2.8</t>
  </si>
  <si>
    <t>COMP.079</t>
  </si>
  <si>
    <t>REMOCAO DE DISPOSITIVOS PARA FUNCIONAMENTO DE PIA DE COZINHA</t>
  </si>
  <si>
    <t>2.9</t>
  </si>
  <si>
    <t>REMOÇÃO DE TUBULAÇÕES (TUBOS E CONEXÕES) DE ÁGUA FRIA, DE FORMA MANUAL, SEM REAPROVEITAMENTO</t>
  </si>
  <si>
    <t>M</t>
  </si>
  <si>
    <t>2.10</t>
  </si>
  <si>
    <t>COMP.081</t>
  </si>
  <si>
    <t>DEMOLIÇÃO DE PISO DE ALTA RESISTÊNCIA (prof. Lavabo,coord.)</t>
  </si>
  <si>
    <t>2.11</t>
  </si>
  <si>
    <t>REMOÇÃO DE PORTAS, DE FORMA MANUAL, SEM REAPROVEITAMENTO</t>
  </si>
  <si>
    <t>2.12</t>
  </si>
  <si>
    <t>REMOÇÃO DE JANELAS, DE FORMA MANUAL, SEM REAPROVEITAMENTO</t>
  </si>
  <si>
    <t>2.13</t>
  </si>
  <si>
    <t>COMP.004</t>
  </si>
  <si>
    <t>RETIRADA DE PAINEL DE VIDRO TEMPERADO COM PORTA (foyer,biblioteca e secretaria guiche)</t>
  </si>
  <si>
    <t>2.14</t>
  </si>
  <si>
    <t>COMP.016</t>
  </si>
  <si>
    <t>REMOÇÃO DE AR CONDICIONADO</t>
  </si>
  <si>
    <t>2.15</t>
  </si>
  <si>
    <t>COMP.084</t>
  </si>
  <si>
    <t>CORTE/PODA DE ARVORES, COM LIMPEZA DE GALHOS SECOS E RETIRADA DE PARASITAS INCLUINDO REMOCAO DE ENTULHO</t>
  </si>
  <si>
    <t>LAB. SALAS DE AULA</t>
  </si>
  <si>
    <t>2.16</t>
  </si>
  <si>
    <t>DEMOLIÇÃO DE ALVENARIA DE BLOCO FURADO, DE FORMA MANUAL, SEM REAPROVEITAMENTO</t>
  </si>
  <si>
    <t>2.17</t>
  </si>
  <si>
    <t>2.18</t>
  </si>
  <si>
    <t>DEMOLIÇÃO DE ARGAMASSAS, DE FORMA MANUAL, SEM REAPROVEITAMENTO.</t>
  </si>
  <si>
    <t>2.19</t>
  </si>
  <si>
    <t>REMOÇÃO DE LOUÇAS, DE FORMA MANUAL, SEM REAPROVEITAMENTO</t>
  </si>
  <si>
    <t>2.20</t>
  </si>
  <si>
    <t>COMP.082</t>
  </si>
  <si>
    <t xml:space="preserve">REMOCAO DE CALHAS E CONDUTORES DE AGUAS PLUVIAIS </t>
  </si>
  <si>
    <t>2.21</t>
  </si>
  <si>
    <t>2.22</t>
  </si>
  <si>
    <t>2.23</t>
  </si>
  <si>
    <t>DEMOLIÇÃO DE PISO DE ALTA RESISTÊNCIA</t>
  </si>
  <si>
    <t>2.24</t>
  </si>
  <si>
    <t>2.25</t>
  </si>
  <si>
    <t>2.26</t>
  </si>
  <si>
    <t>RETIRADA DE PAINEL DE VIDRO TEMPERADO COM PORTA</t>
  </si>
  <si>
    <t>2.27</t>
  </si>
  <si>
    <t>2.28</t>
  </si>
  <si>
    <t>2.29</t>
  </si>
  <si>
    <t>DEPOSITO II</t>
  </si>
  <si>
    <t>2.30</t>
  </si>
  <si>
    <t>2.31</t>
  </si>
  <si>
    <t>TOTAL DEMOLIÇÃO E REMOÇÃO</t>
  </si>
  <si>
    <t>3.0</t>
  </si>
  <si>
    <t>MOVIMENTO DE TERRA</t>
  </si>
  <si>
    <t>3.1</t>
  </si>
  <si>
    <t>REATERRO MANUAL APILOADO COM SOQUETE</t>
  </si>
  <si>
    <t>3.2</t>
  </si>
  <si>
    <t>ESCAVAÇÃO VERTICAL A CÉU ABERTO, INCLUINDO CARGA, DESCARGA E TRANSPORTE, EM SOLO DE 1ª CATEGORIA COM ESCAVADEIRA HIDRÁULICA (CAÇAMBA: 0,8 M³/ 111 HP), FROTA DE 2 CAMINHÕES BASCULANTES DE 18 M³, DMT DE 0,2 KM E VELOCIDADE MÉDIA 4 KM/H.</t>
  </si>
  <si>
    <t>3.3</t>
  </si>
  <si>
    <t>ESCAVAÇÃO MANUAL DE VALA COM PROFUNDIDADE MENOR OU IGUAL A 1,30 M</t>
  </si>
  <si>
    <t>3.4</t>
  </si>
  <si>
    <t>ESCAVAÇÃO MANUAL PARA BLOCO DE COROAMENTO OU SAPATA, SEM PREVISÃO DE FÔRMA.</t>
  </si>
  <si>
    <t>LAB. SALA AULA</t>
  </si>
  <si>
    <t>3.5</t>
  </si>
  <si>
    <t>3.6</t>
  </si>
  <si>
    <t>3.7</t>
  </si>
  <si>
    <t>3.8</t>
  </si>
  <si>
    <t>TOTAL MOVIMENTO DE TERRA</t>
  </si>
  <si>
    <t>4.0</t>
  </si>
  <si>
    <t>ESTRUTURA - FUNDAÇÃO, VIGAS E PILARES</t>
  </si>
  <si>
    <t>ADMINISTRATIVO</t>
  </si>
  <si>
    <t>LAVATÓRIO DIRETORIA</t>
  </si>
  <si>
    <t>4.1</t>
  </si>
  <si>
    <t>ARMAÇÃO DE PILAR OU VIGA DE UMA ESTRUTURA CONVENCIONAL DE CONCRETO ARMADO EM UMA EDIFICAÇÃO TÉRREA OU SOBRADO UTILIZANDO AÇO CA-60 DE 5,0 MM - MONTAGEM.</t>
  </si>
  <si>
    <t>KG</t>
  </si>
  <si>
    <t>4.2</t>
  </si>
  <si>
    <t>ARMAÇÃO DE PILAR OU VIGA DE UMA ESTRUTURA CONVENCIONAL DE CONCRETO ARMADO EM UMA EDIFICAÇÃO TÉRREA OU SOBRADO UTILIZANDO AÇO CA-50 DE 8,0 MM- MONTAGEM.</t>
  </si>
  <si>
    <t>4.3</t>
  </si>
  <si>
    <t>ARMAÇÃO DE PILAR OU VIGA DE UMA ESTRUTURA CONVENCIONAL DE CONCRETO ARMADO EM UMA EDIFICAÇÃO TÉRREA OU SOBRADO UTILIZANDO AÇO CA-50 DE 10,0 MM - MONTAGEM.</t>
  </si>
  <si>
    <t>4.4</t>
  </si>
  <si>
    <t>MONTAGEM E DESMONTAGEM DE FÔRMA DE PILARES RETANGULARES E ESTRUTURAS SIMILARES COM ÁREA MÉDIA DAS SEÇÕES MAIOR QUE 0,25 M², PÉ-DIREITO SIMPLES, EM CHAPA DE MADEIRA COMPENSADA RESINADA, 2 UTILIZAÇÕES.</t>
  </si>
  <si>
    <t>4.5</t>
  </si>
  <si>
    <t>MONTAGEM E DESMONTAGEM DE FÔRMA DE VIGA, ESCORAMENTO COM PONTALETE DE MADEIRA, PÉ-DIREITO SIMPLES, EM MADEIRA SERRADA, 2 UTILIZAÇÕES.</t>
  </si>
  <si>
    <t>4.6</t>
  </si>
  <si>
    <t xml:space="preserve">CONCRETO MAGRO PARA LASTRO, TRAÇO 1:4,5:4,5 (CIMENTO/ AREIA MÉDIA/ BRITA 1) - PREPARO MECÂNICO COM BETONEIRA 400L. </t>
  </si>
  <si>
    <t>4.7</t>
  </si>
  <si>
    <t>CONCRETO FCK = 25MPA, TRAÇO 1:2,3:2,7 (CIMENTO/ AREIA MÉDIA/ BRITA 1) - PREPARO MECÂNICO C/ BETONEIRA 600 L.</t>
  </si>
  <si>
    <t>4.8</t>
  </si>
  <si>
    <t>LANÇAMENTO COM USO DE BALDES, ADENSAMENTO E ACABAMENTO DE CONCRETO EM ESTRUTURAS.</t>
  </si>
  <si>
    <t>4.9</t>
  </si>
  <si>
    <t>74141/001</t>
  </si>
  <si>
    <t>LAJE PRE-MOLD BETA 11 P/1KN/M2 VAOS 4,40M/INCL VIGOTAS TIJOLOS ARMADURA NEGATIVA CAPEAMENTO 3CM CONCRETO 20MPA ESCORAMENTO MATERIAL E MAO DE OBRA</t>
  </si>
  <si>
    <t>FACHADA-ADMINISTRATIVO</t>
  </si>
  <si>
    <t>4.10</t>
  </si>
  <si>
    <t>4.11</t>
  </si>
  <si>
    <t>4.12</t>
  </si>
  <si>
    <t>4.13</t>
  </si>
  <si>
    <t>CONCRETO FCK = 25MPA, TRAÇO 1:2,3:2,7 (CIMENTO/ AREIA MÉDIA/ BRITA 1) - PREPARO MECÂNICO COM BETONEIRA 600 L.</t>
  </si>
  <si>
    <t>4.14</t>
  </si>
  <si>
    <t xml:space="preserve">LAB. SALA AULA </t>
  </si>
  <si>
    <t>AMPLIAÇÃO DOS SANITÁRIOS</t>
  </si>
  <si>
    <t>4.15</t>
  </si>
  <si>
    <t>4.16</t>
  </si>
  <si>
    <t>4.17</t>
  </si>
  <si>
    <t>4.18</t>
  </si>
  <si>
    <t>FABRICAÇÃO, MONTAGEM E DESMONTAGEM DE FORMA PARA RADIER, EM MADEIRA SERRADA, 4 UTILIZAÇÕES</t>
  </si>
  <si>
    <t>4.19</t>
  </si>
  <si>
    <t>4.20</t>
  </si>
  <si>
    <t>4.21</t>
  </si>
  <si>
    <t>CONCRETO MAGRO PARA LASTRO, TRAÇO 1:4,5:4,5 (CIMENTO/ AREIA MÉDIA/ BRITA 1) - PREPARO MECÂNICO COM BETONEIRA 400 L.</t>
  </si>
  <si>
    <t>4.22</t>
  </si>
  <si>
    <t>4.23</t>
  </si>
  <si>
    <t>4.24</t>
  </si>
  <si>
    <t xml:space="preserve">DEPOSITO I </t>
  </si>
  <si>
    <t>4.25</t>
  </si>
  <si>
    <t>4.26</t>
  </si>
  <si>
    <t>4.27</t>
  </si>
  <si>
    <t>4.28</t>
  </si>
  <si>
    <t>4.29</t>
  </si>
  <si>
    <t>4.30</t>
  </si>
  <si>
    <t>4.31</t>
  </si>
  <si>
    <t>ACESSO</t>
  </si>
  <si>
    <t>4.32</t>
  </si>
  <si>
    <t>4.33</t>
  </si>
  <si>
    <t xml:space="preserve"> ARMAÇÃO DE PILAR OU VIGA DE UMA ESTRUTURA CONVENCIONAL DE CONCRETO ARMADO EM UMA EDIFICAÇÃO TÉRREA OU SOBRADO UTILIZANDO AÇO CA-50 DE 8,0 MM- MONTAGEM.</t>
  </si>
  <si>
    <t>4.34</t>
  </si>
  <si>
    <t>4.35</t>
  </si>
  <si>
    <t>4.36</t>
  </si>
  <si>
    <t xml:space="preserve"> LANÇAMENTO COM USO DE BALDES, ADENSAMENTO E ACABAMENTO DE CONCRETO EM ESTRUTURAS.</t>
  </si>
  <si>
    <t>4.37</t>
  </si>
  <si>
    <t>4.38</t>
  </si>
  <si>
    <t>4.39</t>
  </si>
  <si>
    <t>4.40</t>
  </si>
  <si>
    <t>4.41</t>
  </si>
  <si>
    <t>TOTAL ESTRUTURA FUNDAÇÃO, VIGAS , PILAR</t>
  </si>
  <si>
    <t>5.0</t>
  </si>
  <si>
    <t>IMPERMEABILIZAÇÃO E TRATAMENTO</t>
  </si>
  <si>
    <t>5.1</t>
  </si>
  <si>
    <t>74106/001</t>
  </si>
  <si>
    <t>IMPERMEABILIZACAO DE ESTRUTURAS ENTERRADAS, COM TINTA ASFALTICA, DUAS DEMAOS</t>
  </si>
  <si>
    <t>TOTAL IMPERMEABILIZAÇÃO E TRATAMENTO</t>
  </si>
  <si>
    <t>6.0</t>
  </si>
  <si>
    <t>VEDAÇÃO E DIVISÓRIAS</t>
  </si>
  <si>
    <t>6.1</t>
  </si>
  <si>
    <t xml:space="preserve"> ALVENARIA DE VEDAÇÃO DE BLOCOS CERÂMICOS FURADOS NA HORIZONTAL DE 9X19X19CM (ESPESSURA 9CM) DE PAREDES COM ÁREA LÍQUIDA MENOR QUE 6M² SEM VÃOS E ARGAMASSA DE ASSENTAMENTO COM PREPARO EM BETONEIRA.</t>
  </si>
  <si>
    <t>6.2</t>
  </si>
  <si>
    <t>DIVISORIA EM GRANITO ANDORINHA POLIDO, ESP = 3CM, ASSENTADO COM ARGAMASSA TRACO 1:4, ARREMATE EM CIMENTO BRANCO, EXCLUSIVE FERRAGENS</t>
  </si>
  <si>
    <t>6.3</t>
  </si>
  <si>
    <t>VERGA MOLDADA IN LOCO EM CONCRETO PARA PORTAS COM ATÉ 1,5 M DE VÃO</t>
  </si>
  <si>
    <t>6.4</t>
  </si>
  <si>
    <t xml:space="preserve">VERGA MOLDADA IN LOCO EM CONCRETO PARA JANELAS COM MAIS DE 1,5 M DE VÃO </t>
  </si>
  <si>
    <t>6.5</t>
  </si>
  <si>
    <t xml:space="preserve">CONTRAVERGA MOLDADA IN LOCO EM CONCRETO PARA VÃOS DE MAIS DE 1,5 M DE COMPRIMENTO </t>
  </si>
  <si>
    <t>LAB. SALA DE AULA</t>
  </si>
  <si>
    <t>6.6</t>
  </si>
  <si>
    <t>ALVENARIA DE VEDAÇÃO DE BLOCOS CERÂMICOS FURADOS NA HORIZONTAL DE 9X19X19CM (ESPESSURA 9CM) DE PAREDES COM ÁREA LÍQUIDA MAIOR OU IGUAL A 6M²COM VÃOS E ARGAMASSA DE ASSENTAMENTO COM PREPARO EM BETONEIRA. PAREDES MAIOR</t>
  </si>
  <si>
    <t>6.7</t>
  </si>
  <si>
    <t>ALVENARIA DE VEDAÇÃO DE BLOCOS CERÂMICOS FURADOS NA HORIZONTAL DE 9X19X19CM (ESPESSURA 9CM) DE PAREDES COM ÁREA LÍQUIDA MENOR QUE 6M² SEM VÃOS E ARGAMASSA DE ASSENTAMENTO COM PREPARO EM BETONEIRA.FECHAMENTO VÃO CAIXA DE AR, PORTAS,JANELAS</t>
  </si>
  <si>
    <t>6.8</t>
  </si>
  <si>
    <t>COMP.030</t>
  </si>
  <si>
    <t>COMPOSIÇÂO</t>
  </si>
  <si>
    <t>FONECIMENTO E INSTALAÇÃO DE BANCADA  SECA DE GRANITO CINZA POLIDO  C/ SUPORTE METALICO</t>
  </si>
  <si>
    <t>6.9</t>
  </si>
  <si>
    <t>COMP.022</t>
  </si>
  <si>
    <t>REAPROVEITAMENTO E INSTALAÇÃO DE BANCADA  SECA DE GRANITO CINZA POLIDO  C/ SUPORTE METALICO</t>
  </si>
  <si>
    <t>6.10</t>
  </si>
  <si>
    <t>6.11</t>
  </si>
  <si>
    <t>6.12</t>
  </si>
  <si>
    <t>6.13</t>
  </si>
  <si>
    <t>6.14</t>
  </si>
  <si>
    <t>ALVENARIA DE VEDAÇÃO DE BLOCOS CERÂMICOS FURADOS NA HORIZONTAL DE 9X19X19CM (ESPESSURA 9CM) DE PAREDES COM ÁREA LÍQUIDA MENOR QUE 6M² SEM VÃOS E ARGAMASSA DE ASSENTAMENTO COM PREPARO EM BETONEIRA.</t>
  </si>
  <si>
    <t>6.15</t>
  </si>
  <si>
    <t>6.16</t>
  </si>
  <si>
    <t>6.17</t>
  </si>
  <si>
    <t>TOTAL VEDAÇÃO E DIVISÓRIAS</t>
  </si>
  <si>
    <t>7.0</t>
  </si>
  <si>
    <t>REVESTIMENTO  DE PAREDE</t>
  </si>
  <si>
    <t>7.1</t>
  </si>
  <si>
    <t>CHAPISCO APLICADO NO TETO, COM ROLO PARA TEXTURA ACRÍLICA. ARGAMASSA TRAÇO 1:4 E EMULSÃO POLIMÉRICA (ADESIVO) COM PREPARO EM BETONEIRA 400L.</t>
  </si>
  <si>
    <t>7.2</t>
  </si>
  <si>
    <t xml:space="preserve">CHAPISCO APLICADO EM ALVENARIAS E ESTRUTURAS DE CONCRETO INTERNAS, COM ROLO PARA TEXTURA ACRÍLICA. ARGAMASSA TRAÇO 1:4 E EMULSÃO POLIMÉRICA
(ADESIVO) COM PREPARO EM BETONEIRA 400L. </t>
  </si>
  <si>
    <t>7.3</t>
  </si>
  <si>
    <t>MASSA ÚNICA, PARA RECEBIMENTO DE PINTURA, EM ARGAMASSA TRAÇO 1:2:8, PREPARO MECÂNICO COM BETONEIRA 400L, APLICADA MANUALMENTE EM FACES INTER
NAS DE PAREDES, ESPESSURA DE 20MM, COM EXECUÇÃO DE TALISCAS.</t>
  </si>
  <si>
    <t>7.4</t>
  </si>
  <si>
    <t>EMBOÇO, PARA RECEBIMENTO DE CERÂMICA, EM ARGAMASSA TRAÇO 1:2:8, PREPARO MECÂNICO COM BETONEIRA 400L, APLICADO MANUALMENTE EM FACES INTERNAS DE PAREDES, PARA AMBIENTE COM ÁREA MAIOR QUE 10M2, ESPESSURA DE 20MM,
COM EXECUÇÃO DE TALISCAS.</t>
  </si>
  <si>
    <t>7.5</t>
  </si>
  <si>
    <t>MASSA ÚNICA, PARA RECEBIMENTO DE PINTURA, EM ARGAMASSA TRAÇO 1:2:8, PREPARO MECÂNICO COM BETONEIRA 400L, APLICADA MANUALMENTE EM TETO, ESPES
SURA DE 20MM, COM EXECUÇÃO DE TALISCAS.</t>
  </si>
  <si>
    <t>7.6</t>
  </si>
  <si>
    <t>REVESTIMENTO CERÂMICO PARA PAREDES INTERNAS COM PLACAS TIPO ESMALTADA, EXTRA DE DIMENSÕES 20X20 CM APLICADAS EM AMBIENTES DE ÁREA MENOR QUE 5M² NA ALTURA INTEIRA DAS PAREDES.</t>
  </si>
  <si>
    <t>7.7</t>
  </si>
  <si>
    <t>7.8</t>
  </si>
  <si>
    <t>CHAPISCO APLICADO EM ALVENARIAS E ESTRUTURAS DE CONCRETO INTERNAS, COM ROLO PARA TEXTURA ACRÍLICA. ARGAMASSA TRAÇO 1:4 E EMULSÃO POLIMÉRICA,(ADESIVO) COM PREPARO EM BETONEIRA 400L.</t>
  </si>
  <si>
    <t>7.9</t>
  </si>
  <si>
    <t>7.10</t>
  </si>
  <si>
    <t xml:space="preserve">MASSA ÚNICA, PARA RECEBIMENTO DE PINTURA, EM ARGAMASSA TRAÇO 1:2:8, PREPARO MECÂNICO COM BETONEIRA 400L, APLICADA MANUALMENTE EM TETO, ESPES
SURA DE 20MM, COM EXECUÇÃO DE TALISCAS. </t>
  </si>
  <si>
    <t>7.11</t>
  </si>
  <si>
    <t>REVESTIMENTO CERÂMICO PARA PAREDES INTERNAS COM PLACAS TIPO ESMALTADA EXTRA DE DIMENSÕES 20X20 CM APLICADAS EM AMBIENTES DE ÁREA MENOR QUE 5M² NA ALTURA INTEIRA DAS PAREDES. (lab.PNE, sanitarios)</t>
  </si>
  <si>
    <t>7.12</t>
  </si>
  <si>
    <t>7.13</t>
  </si>
  <si>
    <t xml:space="preserve">MASSA ÚNICA, PARA RECEBIMENTO DE PINTURA, EM ARGAMASSA TRAÇO 1:2:8, PREPARO MECÂNICO COM BETONEIRA 400L, APLICADA MANUALMENTE EM FACES INTER
NAS DE PAREDES, ESPESSURA DE 20MM, COM EXECUÇÃO DE TALISCAS. </t>
  </si>
  <si>
    <t>TOTAL REVESTIMENTO DE PAREDE</t>
  </si>
  <si>
    <t>8.0</t>
  </si>
  <si>
    <t>PISO E RODAPÉ</t>
  </si>
  <si>
    <t>8.1</t>
  </si>
  <si>
    <t>CONTRAPISO EM ARGAMASSA TRAÇO 1:4 (CIMENTO E AREIA), PREPARO MECÂNICO COM BETONEIRA 400 L, PLICADO EM ÁREAS SECAS SOBRE LAJE, ADERIDO, ESPESSURA 2CM.</t>
  </si>
  <si>
    <t>8.2</t>
  </si>
  <si>
    <t>EXECUÇÃO DE PASSEIO (CALÇADA) OU PISO DE CONCRETO COM CONCRETO MOLDADO IN LOCO, FEITO EM OBRA, ACABAMENTO CONVENCIONAL, ESPESSURA 6 CM, ARMADO.</t>
  </si>
  <si>
    <t>8.3</t>
  </si>
  <si>
    <t>PISO EM GRANILITE OU GRANITINA ESPESSURA 8 MM, INCLUSO JUNTAS DE DILATACAO PLASTICAS (rua, lavabo)</t>
  </si>
  <si>
    <t>8.4</t>
  </si>
  <si>
    <t>73850/001</t>
  </si>
  <si>
    <t>RODAPE EM GRANILITE, ALTURA 10CM</t>
  </si>
  <si>
    <t xml:space="preserve">M </t>
  </si>
  <si>
    <t>8.5</t>
  </si>
  <si>
    <t>APLICACAO DE VERNIZ POLIURETANO FOSCO SOBRE PISO DE PEDRAS DECORATIVAS, 3 DEMAOS</t>
  </si>
  <si>
    <t>8.6</t>
  </si>
  <si>
    <t>SOLEIRA EM GRANITO, LARGURA 15 CM, ESPESSURA 2,0 CM</t>
  </si>
  <si>
    <t>8.7</t>
  </si>
  <si>
    <t>REVESTIMENTO CERÂMICO PARA PISO COM PLACAS TIPO ESMALTADA EXTRA DE DIMENSÕES 45X45 CM APLICADA EM AMBIENTES DE ÁREA MENOR QUE 5 M2.</t>
  </si>
  <si>
    <t>8.8</t>
  </si>
  <si>
    <t>8.9</t>
  </si>
  <si>
    <t>CONTRAPISO EM ARGAMASSA TRAÇO 1:4 (CIMENTO E AREIA), PREPARO MECÂNICO COM BETONEIRA 400 L, PLICADO EM ÁREAS SECAS SOBRE LAJE, ADERIDO, ESPESSURA 2CM. REGULARIZAÇÃO</t>
  </si>
  <si>
    <t>8.10</t>
  </si>
  <si>
    <t>CONTRAPISO EM ARGAMASSA TRAÇO 1:4 (CIMENTO E AREIA), PREPARO MECÂNICO COM BETONEIRA 400 L, APLICADO EM ÁREAS MOLHADAS SOBRE IMPERMEABILIZAÇÃO, ESPESSURA 4CM.</t>
  </si>
  <si>
    <t>8.11</t>
  </si>
  <si>
    <t>8.12</t>
  </si>
  <si>
    <t>8.13</t>
  </si>
  <si>
    <t>PISO EM GRANILITE OU GRANITINA ESPESSURA 8 MM, INCLUSO JUNTAS DE DILATACAO PLASTICAS</t>
  </si>
  <si>
    <t>8.14</t>
  </si>
  <si>
    <t>8.15</t>
  </si>
  <si>
    <t>REVESTIMENTO CERÂMICO PARA PISO COM PLACAS TIPO ESMALTADA EXTRA DE DIMENSÕES 45X45 CM APLICADA EM AMBIENTES DE ÁREA MAIOR QUE 10 M2.</t>
  </si>
  <si>
    <t>8.16</t>
  </si>
  <si>
    <t>8.17</t>
  </si>
  <si>
    <t xml:space="preserve"> PISO CIMENTADO, TRAÇO 1:3 (CIMENTO E AREIA), ACABAMENTO LISO, ESPESSURA 3,0 CM, PREPARO MECÂNICO DA ARGAMASSA (interno)</t>
  </si>
  <si>
    <t>TOTAL PISO E RODAPÉ</t>
  </si>
  <si>
    <t>9.0</t>
  </si>
  <si>
    <t>COBERTURA E DRENAGEM</t>
  </si>
  <si>
    <t>BIBLIOTECA</t>
  </si>
  <si>
    <t>9.1</t>
  </si>
  <si>
    <t>COMP.085</t>
  </si>
  <si>
    <t>ESTRUTURA METALICA EM TESOURAS OU TRELICAS, VAO LIVRE DE 12M, FORNECIMENTO E MONTAGEM, NAO SENDO CONSIDERADOS OS FECHAMENTOS METALICOS, AS COLUNAS, OS SERVICOS GERAIS EM ALVENARIA E CONCRETO, AS TELHAS DE COBERTURA E A PINTURA DE ACABAMENTO</t>
  </si>
  <si>
    <t>9.2</t>
  </si>
  <si>
    <t>TELHAMENTO COM TELHA METÁLICA TERMOACÚSTICA E = 30 MM, COM ATÉ 2 ÁGUAS, INCLUSO IÇAMENTO.</t>
  </si>
  <si>
    <t>9.3</t>
  </si>
  <si>
    <t>CALHA EM CHAPA DE AÇO GALVANIZADO NÚMERO 24, DESENVOLVIMENTO DE 100 CM, INCLUSO TRANSPORTE VERTICAL.</t>
  </si>
  <si>
    <t>9.4</t>
  </si>
  <si>
    <t>RUFO EM CHAPA DE AÇO GALVANIZADO NÚMERO 24, CORTE DE 25 CM, INCLUSO TRANSPORTE VERTICAL.</t>
  </si>
  <si>
    <t>9.5</t>
  </si>
  <si>
    <t>TUBO PVC, SÉRIE R, ÁGUA PLUVIAL, DN 150 MM, FORNECIDO E INSTALADO EM CONDUTORES VERTICAIS DE ÁGUAS PLUVIAIS.</t>
  </si>
  <si>
    <t>9.6</t>
  </si>
  <si>
    <t>JOELHO 90 GRAUS, PVC, SERIE R, ÁGUA PLUVIAL, DN 150 MM, JUNTA ELÁSTICA, FORNECIDO E INSTALADO EM CONDUTORES VERTICAIS DE ÁGUAS PLUVIAIS.</t>
  </si>
  <si>
    <t>9.7</t>
  </si>
  <si>
    <t>TÊ, PVC, SERIE R, ÁGUA PLUVIAL, DN 150 X 150 MM, JUNTA ELÁSTICA, FORNECIDO E INSTALADO EM CONDUTORES VERTICAIS DE ÁGUAS PLUVIAIS.</t>
  </si>
  <si>
    <t>DEPOSITO II (FUNDO)</t>
  </si>
  <si>
    <t>9.8</t>
  </si>
  <si>
    <t>9.9</t>
  </si>
  <si>
    <t>9.10</t>
  </si>
  <si>
    <t>COMP.019</t>
  </si>
  <si>
    <t>RUFO EM CHAPA DE AÇO GALVANIZADO NÚMERO 26, CORTE DE 50 CM, INCLUSO TRANSPORTE VERTICAL</t>
  </si>
  <si>
    <t>ENTRE BLOCOS</t>
  </si>
  <si>
    <t>9.11</t>
  </si>
  <si>
    <t>ESTRUTURA METALICA EM TESOURAS OU TRELICAS, VAO LIVRE DE 12M, FORNECIMENTO E MONTAGEM, NAO SENDO CONSIDERADOS OS FECHAMENTOS METALICOS, AS COLUNAS, OS SERVICOS GERAIS EM ALVENARIA E CONCRETO, AS TELHAS DE COBERTURA E A PINTURA DE ACABAMENTO (EM VIGAS CAIXA)</t>
  </si>
  <si>
    <t>9.12</t>
  </si>
  <si>
    <t>TELHAMENTO COM TELHA METÁLICA TERMOACÚSTICA E = 30 MM, COM ATÉ 2 ÁGUAS, INCLUSO IÇAMENTO. AF_06/2016</t>
  </si>
  <si>
    <t>9.13</t>
  </si>
  <si>
    <t>CALHA EM CHAPA DE AÇO GALVANIZADO NÚMERO 24, DESENVOLVIMENTO DE 50 CM, INCLUSO TRANSPORTE VERTICAL. CALHA DE BEIRAL</t>
  </si>
  <si>
    <t>9.14</t>
  </si>
  <si>
    <t>9.15</t>
  </si>
  <si>
    <t xml:space="preserve">TUBO PVC, SÉRIE R, ÁGUA PLUVIAL, DN 100 MM, FORNECIDO E INSTALADO EM RAMAL DE ENCAMINHAMENTO. </t>
  </si>
  <si>
    <t>9.16</t>
  </si>
  <si>
    <t xml:space="preserve">JOELHO 90 GRAUS, PVC, SERIE R, ÁGUA PLUVIAL, DN 100 MM, JUNTA ELÁSTICA, FORNECIDO E INSTALADO EM RAMAL DE ENCAMINHAMENTO. </t>
  </si>
  <si>
    <t>9.17</t>
  </si>
  <si>
    <t>9.18</t>
  </si>
  <si>
    <t>9.19</t>
  </si>
  <si>
    <t>COMP.009</t>
  </si>
  <si>
    <t xml:space="preserve">PLATIBANDA EM CHAPA 14 EM AÇO ALTURA 60CM </t>
  </si>
  <si>
    <t>9.20</t>
  </si>
  <si>
    <t>9.21</t>
  </si>
  <si>
    <t>9.22</t>
  </si>
  <si>
    <t>9.23</t>
  </si>
  <si>
    <t>FACHADA</t>
  </si>
  <si>
    <t>9.24</t>
  </si>
  <si>
    <t>9.25</t>
  </si>
  <si>
    <t>9.26</t>
  </si>
  <si>
    <t>COMP.010</t>
  </si>
  <si>
    <t xml:space="preserve">PLATIBANDA EM CHAPA 14 EM AÇO ALTURA 100CM </t>
  </si>
  <si>
    <t>9.27</t>
  </si>
  <si>
    <t>COMP.008</t>
  </si>
  <si>
    <t>ESTRUTURA METALICA EM AÇO PERFIL U ENRIJECIDO DE AÇO DOBRADO PILARES EM TRELIÇA VIGAS E COLUNAS</t>
  </si>
  <si>
    <t>9.28</t>
  </si>
  <si>
    <t>9.29</t>
  </si>
  <si>
    <t>LAVABO</t>
  </si>
  <si>
    <t>9.30</t>
  </si>
  <si>
    <t>9.31</t>
  </si>
  <si>
    <t>9.32</t>
  </si>
  <si>
    <t>CALHA EM CHAPA DE AÇO GALVANIZADO NÚMERO 24, DESENVOLVIMENTO DE 50 CM, INCLUSO TRANSPORTE VERTICAL. CALHA DE BEIRAL.</t>
  </si>
  <si>
    <t>9.33</t>
  </si>
  <si>
    <t>9.34</t>
  </si>
  <si>
    <t>RUFO EM CHAPA DE AÇO GALVANIZADO NÚMERO 24, CORTE DE 25 CM, INCLUSO TRANSPORTE VERTICAL. PINGADEIRA</t>
  </si>
  <si>
    <t>9.35</t>
  </si>
  <si>
    <t>9.36</t>
  </si>
  <si>
    <t>AREA EXTERNA/CANTINA</t>
  </si>
  <si>
    <t>9.37</t>
  </si>
  <si>
    <t>73867/001</t>
  </si>
  <si>
    <t>ESTRUTURA TIPO ESPACIAL EM ALUMINIO ANODIZADO, VAO DE 20M.</t>
  </si>
  <si>
    <t>9.38</t>
  </si>
  <si>
    <t>TELHAMENTO COM TELHA DE AÇO/ALUMÍNIO E = 0,5 MM, COM ATÉ 2 ÁGUAS, INCLUSO IÇAMENTO.</t>
  </si>
  <si>
    <t>9.39</t>
  </si>
  <si>
    <t>9.40</t>
  </si>
  <si>
    <t>9.41</t>
  </si>
  <si>
    <t>9.42</t>
  </si>
  <si>
    <t>ARMAÇÃO DE BLOCO, VIGA BALDRAME OU SAPATA UTILIZANDO AÇO CA-50 DE 10 MM - MONTAGEM. (80X80X60)</t>
  </si>
  <si>
    <t>9.43</t>
  </si>
  <si>
    <t>9.44</t>
  </si>
  <si>
    <t>DEPÓSITO lll</t>
  </si>
  <si>
    <t>9.45</t>
  </si>
  <si>
    <t xml:space="preserve">TELHAMENTO COM TELHA DE AÇO  E = 0,5 MM, COM ATÉ 2 ÁGUAS, INCLUSO IÇAMENTO. </t>
  </si>
  <si>
    <t>9.46</t>
  </si>
  <si>
    <t>TOTAL COBERTURA E DRENAGEM</t>
  </si>
  <si>
    <t>10.0</t>
  </si>
  <si>
    <t>ESQUADRIA</t>
  </si>
  <si>
    <t>10.1</t>
  </si>
  <si>
    <t>PORTA EM ALUMÍNIO DE ABRIR TIPO VENEZIANA COM GUARNIÇÃO, FIXAÇÃO COM PARAFUSOS - FORNECIMENTO E INSTALAÇÃO (ALUMINIO NATURAL), ( PORTAS P1, P3, P5)</t>
  </si>
  <si>
    <t>10.2</t>
  </si>
  <si>
    <t>PORTA EM ALUMÍNIO DE ABRIR TIPO VENEZIANA COM GUARNIÇÃO, FIXAÇÃO COM PARAFUSOS - FORNECIMENTO E INSTALAÇÃO  (ALUMINIO NATURAL),  ( PORTAS P6,P7)</t>
  </si>
  <si>
    <t>10.3</t>
  </si>
  <si>
    <t>COMP.005</t>
  </si>
  <si>
    <t>PORTA DE VIDRO TEMPERADO (0,90X2,10) UMA FOLHA MOVEL COM BANDEIRAS 0,50M ESPESURA 10MM DUAS LATERAIS FIXAS, COM FERRAGEM, DOBRADIÇAS, TRINCO, FECHADURA, PUXADOR, MOLA, VÃO 1,80X2,60M.  (ALUMINIO NATURAL) ,  ( PORTA P4)</t>
  </si>
  <si>
    <t>10.4</t>
  </si>
  <si>
    <t>COMP.007</t>
  </si>
  <si>
    <t>PORTA DE ALUMÍNIO DE ABRIR TIPO VENEZIANA, DE DUAS FOLHAS, COM FERRAGEM, DOBRADIÇAS TRINCO, FECHADURA, PUXADOR, ALIZAR, VISTA  (ALUMINIO NATURAL), (PORTA P16 )</t>
  </si>
  <si>
    <t>10.5</t>
  </si>
  <si>
    <t>FECHADURA DE EMBUTIR COM CILINDRO, EXTERNA, COMPLETA, ACABAMENTO PADRÃO POPULAR, INCLUSO EXECUÇÃO DE FURO - FORNECIMENTO E INSTALAÇÃO.</t>
  </si>
  <si>
    <t>10.6</t>
  </si>
  <si>
    <t>FECHADURA DE EMBUTIR PARA PORTA DE BANHEIRO, COMPLETA, ACABAMENTO PADRÃO POPULAR, INCLUSO EXECUÇÃO DE FURO - FORNECIMENTO E INSTALAÇÃO.</t>
  </si>
  <si>
    <t>10.7</t>
  </si>
  <si>
    <t>74047/002</t>
  </si>
  <si>
    <t>DOBRADICA EM ACO/FERRO, 3" X 21/2", E=1,9 A 2 MM, SEM ANEL, CROMADO OU ZINCADO, TAMPA BOLA, COM PARAFUSOS</t>
  </si>
  <si>
    <t>10.8</t>
  </si>
  <si>
    <t>74046/002</t>
  </si>
  <si>
    <t xml:space="preserve"> TARJETA TIPO LIVRE/OCUPADO PARA PORTA DE BANHEIRO </t>
  </si>
  <si>
    <t>10.9</t>
  </si>
  <si>
    <t>73736/001</t>
  </si>
  <si>
    <t xml:space="preserve">DOBRADICA TIPO VAI E VEM EM LATAO POLIDO 3" </t>
  </si>
  <si>
    <t>10.10</t>
  </si>
  <si>
    <t>JANELA DE ALUMÍNIO MAXIM-AR, FIXAÇÃO COM ARGAMASSA, COM VIDROS, PADRONIZADA   (ALUMINIO NATURAL), (JANELA J9A)</t>
  </si>
  <si>
    <t>10.11</t>
  </si>
  <si>
    <t>JANELA DE ALUMÍNIO DE CORRER, 2 FOLHAS, FIXAÇÃO COM ARGAMASSA, COM VIDROS, PADRONIZADA. (ALUMINIO NATURAL),  (JANELA J6)</t>
  </si>
  <si>
    <t>10.12</t>
  </si>
  <si>
    <t>COMP.003</t>
  </si>
  <si>
    <t>REINSTALAÇÃO DE PORTAS DE VIDRO TEMPERADO  EXISTENTE (P8)</t>
  </si>
  <si>
    <t>10.13</t>
  </si>
  <si>
    <t>73932/001</t>
  </si>
  <si>
    <t xml:space="preserve">GRADE DE FERRO EM BARRA CHATA 3/16" </t>
  </si>
  <si>
    <t>10.14</t>
  </si>
  <si>
    <t>PORTA EM ALUMÍNIO DE ABRIR TIPO VENEZIANA COM GUARNIÇÃO, FIXAÇÃO COM PARAFUSOS - FORNECIMENTO E INSTALAÇÃO  (ALUMINIO NATURAL), ( PORTA P2)</t>
  </si>
  <si>
    <t>10.15</t>
  </si>
  <si>
    <t>PORTA EM ALUMÍNIO DE ABRIR TIPO VENEZIANA COM GUARNIÇÃO, FIXAÇÃO COM PARAFUSOS - FORNECIMENTO E INSTALAÇÃO   (ALUMINIO NATURAL),  ( PORTAS P1, P3, P15)</t>
  </si>
  <si>
    <t>10.16</t>
  </si>
  <si>
    <t>PORTA DE ALUMÍNIO DE ABRIR TIPO VENEZIANA, DE DUAS FOLHAS, COM FERRAGEM, DOBRADIÇAS TRINCO, FECHADURA, PUXADOR, ALIZAR, VISTA  (ALUMINIO NATURAL), (PORTA P9 )</t>
  </si>
  <si>
    <t>10.17</t>
  </si>
  <si>
    <t>PORTA EM ALUMÍNIO DE ABRIR TIPO VENEZIANA COM GUARNIÇÃO, FIXAÇÃO COM PARAFUSOS - FORNECIMENTO E INSTALAÇÃO   (ALUMINIO NATURAL),  ( PORTAS P6)</t>
  </si>
  <si>
    <t>10.18</t>
  </si>
  <si>
    <t>COMP.006</t>
  </si>
  <si>
    <t>PORTA DE VIDRO TEMPERADO 1,50X2,10 UMA FOLHA MOVEL, ESPESURA 10MM, COM FERRAGEM, DOBRADIÇAS, TRINCO, FECHADURA, PUXADOR, MOLA, VÃO 1,50X2,10M. (ALUMINIO NATURAL),  (PORTA P10)</t>
  </si>
  <si>
    <t>10.19</t>
  </si>
  <si>
    <t>10.20</t>
  </si>
  <si>
    <t>10.21</t>
  </si>
  <si>
    <t>10.22</t>
  </si>
  <si>
    <t xml:space="preserve">TARJETA TIPO LIVRE/OCUPADO PARA PORTA DE BANHEIRO </t>
  </si>
  <si>
    <t>10.23</t>
  </si>
  <si>
    <t>JANELA DE ALUMÍNIO MAXIM-AR, FIXAÇÃO COM ARGAMASSA, COM VIDROS, PADRONIZADA.  (ALUMINIO NATURAL), ( JANELAS J10A E J9A)</t>
  </si>
  <si>
    <t>10.24</t>
  </si>
  <si>
    <t>JANELA DE ALUMÍNIO DE CORRER, 2 FOLHAS, FIXAÇÃO COM ARGAMASSA, COM VIDROS, PADRONIZADA.( JANELAS  J13 E J14), (ALUMINIO NATURAL)</t>
  </si>
  <si>
    <t>10.25</t>
  </si>
  <si>
    <t>RECOLOCACAO DE FOLHAS DE PORTA DE PASSAGEM OU JANELA, CONSIDERANDO REAPROVEITAMENTO DO MATERIAL</t>
  </si>
  <si>
    <t>10.26</t>
  </si>
  <si>
    <t>10.27</t>
  </si>
  <si>
    <t>74195/001</t>
  </si>
  <si>
    <t>GUARDA-CORPO COM CORRIMAO EM FERRO BARRA CHATA 3/16" (50MM)</t>
  </si>
  <si>
    <t>10.28</t>
  </si>
  <si>
    <t>74072/003</t>
  </si>
  <si>
    <t>CORRIMAO EM TUBO ACO GALVANIZADO 1 1/4" COM BRACADEIRA M AS 76,54</t>
  </si>
  <si>
    <t>10.29</t>
  </si>
  <si>
    <t>PORTA EM ALUMÍNIO DE ABRIR TIPO VENEZIANA COM GUARNIÇÃO, FIXAÇÃO COM PARAFUSOS - FORNECIMENTO E INSTALAÇÃO  (ALUMINIO NATURAL),  ( PORTAS P1,)</t>
  </si>
  <si>
    <t>10.30</t>
  </si>
  <si>
    <t>74136/003</t>
  </si>
  <si>
    <t>PORTA DE ACO CHAPA 24, DE ENROLAR, RAIADA, LARGA COM ACABAMENTO GALVANIZADO NATURAL (PORTA P17)</t>
  </si>
  <si>
    <t>10.31</t>
  </si>
  <si>
    <t>10.32</t>
  </si>
  <si>
    <t>10.33</t>
  </si>
  <si>
    <t>JANELA DE ALUMÍNIO MAXIM-AR, FIXAÇÃO COM ARGAMASSA, COM VIDROS, PADRONIZADA.  (ALUMINIO NATURAL), ( JANELAS J9A)</t>
  </si>
  <si>
    <t>10.34</t>
  </si>
  <si>
    <t>TOTAL ESQUADRIAS</t>
  </si>
  <si>
    <t>11.0</t>
  </si>
  <si>
    <t>FORRO</t>
  </si>
  <si>
    <t>11.1</t>
  </si>
  <si>
    <t>FORRO EM DRYWALL, PARA AMBIENTES COMERCIAIS, INCLUSIVE ESTRUTURA DE FIXAÇÃO. (lab.: artes, informatica3,refeitorio copa,biblioteca)</t>
  </si>
  <si>
    <t>TOTAL FORRO</t>
  </si>
  <si>
    <t>12.0</t>
  </si>
  <si>
    <t>PINTURA</t>
  </si>
  <si>
    <t>12.1</t>
  </si>
  <si>
    <t>APLICAÇÃO E LIXAMENTO DE MASSA LÁTEX EM PAREDES, DUAS DEMÃOS ( ALVENARIA NOVA)</t>
  </si>
  <si>
    <t>12.2</t>
  </si>
  <si>
    <t>APLICAÇÃO E LIXAMENTO DE MASSA LÁTEX EM PAREDES, DUAS DEMÃOS (30% DO TOTAL)</t>
  </si>
  <si>
    <t>12.3</t>
  </si>
  <si>
    <t>APLICAÇÃO DE FUNDO SELADOR ACRÍLICO EM PAREDES, UMA DEMÃO( ALVENARIA NOVA)</t>
  </si>
  <si>
    <t>12.4</t>
  </si>
  <si>
    <t>APLICAÇÃO DE FUNDO SELADOR ACRÍLICO EM PAREDES, UMA DEMÃO ( 30% DO TOTAL)</t>
  </si>
  <si>
    <t>12.5</t>
  </si>
  <si>
    <t>COMP.01</t>
  </si>
  <si>
    <t>LIXAMENTO  DE PAREDES  (70% RESTANTE)</t>
  </si>
  <si>
    <t>12.6</t>
  </si>
  <si>
    <t xml:space="preserve">APLICAÇÃO MANUAL DE PINTURA COM TINTA LÁTEX ACRÍLICA EM PAREDES, DUAS DEMÃOS </t>
  </si>
  <si>
    <t>12.7</t>
  </si>
  <si>
    <t>APLICAÇÃO E LIXAMENTO DE MASSA LÁTEX EM TETO, DUAS DEMÃOS.</t>
  </si>
  <si>
    <t>12.8</t>
  </si>
  <si>
    <t>APLICAÇÃO MANUAL DE PINTURA COM TINTA LÁTEX PVA EM TETO, DUAS DEMÃOS</t>
  </si>
  <si>
    <t>12.9</t>
  </si>
  <si>
    <t>73924/003</t>
  </si>
  <si>
    <t>PINTURA ESMALTE FOSCO, DUAS DEMAOS, SOBRE SUPERFICIE METALICA (JANELAS)</t>
  </si>
  <si>
    <t>12.10</t>
  </si>
  <si>
    <t>74145/001</t>
  </si>
  <si>
    <t xml:space="preserve">PINTURA ESMALTE FOSCO, DUAS DEMAOS, SOBRE SUPERFICIE METALICA, INCLUSO UMA DEMAO DE FUNDO ANTICORROSIVO. UTILIZACAO DE REVOLVER ( AR-COMPRIMIDO) </t>
  </si>
  <si>
    <t>12.11</t>
  </si>
  <si>
    <t>12.12</t>
  </si>
  <si>
    <t>12.13</t>
  </si>
  <si>
    <t>12.14</t>
  </si>
  <si>
    <t>12.15</t>
  </si>
  <si>
    <t>COMP.001</t>
  </si>
  <si>
    <t>12.16</t>
  </si>
  <si>
    <t>12.17</t>
  </si>
  <si>
    <t>APLICAÇÃO MANUAL DE PINTURA COM TINTA LÁTEX ACRÍLICA EM PAREDES, DUAS DEMÃOS ( CABINE DE BOMBA D ' ÁGUA E GÁS)</t>
  </si>
  <si>
    <t>12.18</t>
  </si>
  <si>
    <t>12.19</t>
  </si>
  <si>
    <t>12.20</t>
  </si>
  <si>
    <t>12.21</t>
  </si>
  <si>
    <t>PINTURA ESMALTE FOSCO, DUAS DEMAOS, SOBRE SUPERFICIE METALICA, INCLUSO UMA DEMAO DE FUNDO ANTICORROSIVO. UTILIZACAO DE REVOLVER ( AR-COMPRIMIDO)  - GRADES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</si>
  <si>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</si>
  <si>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</si>
  <si>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</si>
  <si>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</si>
  <si>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</si>
  <si>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</si>
  <si>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</si>
  <si>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</si>
  <si>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MURO DE DIVISA E CASA DE BOMBA</t>
  </si>
  <si>
    <t>12.30</t>
  </si>
  <si>
    <t>TOTAL PINTURA</t>
  </si>
  <si>
    <t>13.0</t>
  </si>
  <si>
    <t>VIDRO</t>
  </si>
  <si>
    <t>13.1</t>
  </si>
  <si>
    <t>VIDRO LISO COMUM TRANSPARENTE, ESPESSURA 4MM (VISOR DAS PORTAS P2)</t>
  </si>
  <si>
    <t>13.2</t>
  </si>
  <si>
    <t>74125/001</t>
  </si>
  <si>
    <t>ESPELHO CRISTAL ESPESSURA 4MM, COM MOLDURA DE MADEIRA</t>
  </si>
  <si>
    <t>TOTAL VIDRO</t>
  </si>
  <si>
    <t>14.0</t>
  </si>
  <si>
    <t>INSTALAÇÃO SANITARIA</t>
  </si>
  <si>
    <t>ESGOTO</t>
  </si>
  <si>
    <t>14.1</t>
  </si>
  <si>
    <t>CAIXA SIFONADA, PVC, DN 150 X 185 X 75 MM, JUNTA ELÁSTICA, FORNECIDA E INSTALADA EM RAMAL DE DESCARGA OU EM RAMAL DE ESGOTO SANITÁRIO.</t>
  </si>
  <si>
    <t>14.2</t>
  </si>
  <si>
    <t>CAIXA SIFONADA, PVC, DN 100 X 100 X 50 MM, JUNTA ELÁSTICA, FORNECIDA E INSTALADA EM RAMAL DE DESCARGA OU EM RAMAL DE ESGOTO SANITÁRIO.</t>
  </si>
  <si>
    <t>14.3</t>
  </si>
  <si>
    <t>SIFÃO DO TIPO FLEXÍVEL EM PVC 1 X 1.1/2 - FORNECIMENTO E INSTALAÇÃO</t>
  </si>
  <si>
    <t>14.4</t>
  </si>
  <si>
    <t>VÁLVULA EM METAL CROMADO 1.1/2" X 1.1/2" PARA TANQUE OU LAVATÓRIO, COM OU SEM LADRÃO - FORNECIMENTO E INSTALAÇÃO.</t>
  </si>
  <si>
    <t>14.5</t>
  </si>
  <si>
    <t>CURVA CURTA 90 GRAUS, PVC, SERIE NORMAL, ESGOTO PREDIAL, DN 40 MM, JUNTA SOLDÁVEL, FORNECIDO E INSTALADO EM RAMAL DE DESCARGA OU RAMAL DE ESGOTO SANITÁRIO.</t>
  </si>
  <si>
    <t>14.6</t>
  </si>
  <si>
    <t>CURVA CURTA 90 GRAUS, PVC, SERIE NORMAL, ESGOTO PREDIAL, DN 100 MM, JUNTA ELÁSTICA, FORNECIDO E INSTALADO EM RAMAL DE DESCARGA OU RAMAL DE ESGOTO SANITÁRIO</t>
  </si>
  <si>
    <t>14.7</t>
  </si>
  <si>
    <t>JOELHO 45 GRAUS, PVC, SERIE NORMAL, ESGOTO PREDIAL, DN 100 MM, JUNTA ELÁSTICA, FORNECIDO E INSTALADO EM RAMAL DE DESCARGA OU RAMAL DE ESGOTO SANITÁRIO</t>
  </si>
  <si>
    <t>14.8</t>
  </si>
  <si>
    <t>JOELHO 45 GRAUS, PVC, SERIE NORMAL, ESGOTO PREDIAL, DN 50 MM, JUNTA ELÁSTICA, FORNECIDO E INSTALADO EM RAMAL DE DESCARGA OU RAMAL DE ESGOTO SANITÁRIO</t>
  </si>
  <si>
    <t>14.9</t>
  </si>
  <si>
    <t>JOELHO 45 GRAUS, PVC, SERIE NORMAL, ESGOTO PREDIAL, DN 40 MM, JUNTA SOLDÁVEL, FORNECIDO E INSTALADO EM RAMAL DE DESCARGA OU RAMAL DE ESGOTO SANITÁRIO.</t>
  </si>
  <si>
    <t>14.10</t>
  </si>
  <si>
    <t>JOELHO 90 GRAUS, PVC, SERIE NORMAL, ESGOTO PREDIAL, DN 50 MM, JUNTA ELÁSTICA, FORNECIDO E INSTALADO EM RAMAL DE DESCARGA OU RAMAL DE ESGOTO SANITÁRIO.</t>
  </si>
  <si>
    <t>14.11</t>
  </si>
  <si>
    <t>JOELHO 90 GRAUS, PVC, SERIE NORMAL, ESGOTO PREDIAL, DN 40 MM, JUNTA SOLDÁVEL, FORNECIDO E INSTALADO EM RAMAL DE DESCARGA OU RAMAL DE ESGOTO SANITÁRIO</t>
  </si>
  <si>
    <t>14.12</t>
  </si>
  <si>
    <t>CAP PVC ESGOTO 50MM (TAMPÃO) - FORNECIMENTO E INSTALAÇÃO</t>
  </si>
  <si>
    <t>14.13</t>
  </si>
  <si>
    <t>BUCHA DE REDUÇÃO LONGA, PVC, SERIE R, ÁGUA PLUVIAL, DN 50 X 40 MM, JUNTA ELÁSTICA, FORNECIDO E INSTALADO EM RAMAL DE ENCAMINHAMENTO.</t>
  </si>
  <si>
    <t>14.14</t>
  </si>
  <si>
    <t>COMP.023</t>
  </si>
  <si>
    <t>TERMINAL DE VENTILAÇÃO, DN 50MM, ESGOTO PREDIAL, FORNECIMENTO E INSTALAÇÃO</t>
  </si>
  <si>
    <t>14.15</t>
  </si>
  <si>
    <t>JUNÇÃO SIMPLES, PVC, SERIE NORMAL, ESGOTO PREDIAL, DN 100 X 100 MM, JUNTA ELÁSTICA, FORNECIDO E INSTALADO EM PRUMADA DE ESGOTO SANITÁRIO OU VENTILAÇÃO</t>
  </si>
  <si>
    <t>14.16</t>
  </si>
  <si>
    <t>LUVA SIMPLES, PVC, SERIE NORMAL, ESGOTO PREDIAL, DN 100 MM, JUNTA ELÁSTICA, FORNECIDO E INSTALADO EM PRUMADA DE ESGOTO SANITÁRIO OU VENTILAÇÃO</t>
  </si>
  <si>
    <t>14.17</t>
  </si>
  <si>
    <t>LUVA SIMPLES, PVC, SERIE NORMAL, ESGOTO PREDIAL, DN 40 MM, JUNTA SOLDÁVEL, FORNECIDO E INSTALADO EM RAMAL DE DESCARGA OU RAMAL DE ESGOTO SANITÁRIO</t>
  </si>
  <si>
    <t>14.18</t>
  </si>
  <si>
    <t>LUVA SIMPLES, PVC, SERIE NORMAL, ESGOTO PREDIAL, DN 50 MM, JUNTA ELÁSTICA, FORNECIDO E INSTALADO EM RAMAL DE DESCARGA OU RAMAL DE ESGOTO SANITÁRIO.</t>
  </si>
  <si>
    <t>14.19</t>
  </si>
  <si>
    <t>TUBO PVC, SERIE NORMAL, ESGOTO PREDIAL, DN 50 MM, FORNECIDO E INSTALADO EM RAMAL DE DESCARGA OU RAMAL DE ESGOTO SANITÁRIO</t>
  </si>
  <si>
    <t>14.20</t>
  </si>
  <si>
    <t>TUBO PVC, SERIE NORMAL, ESGOTO PREDIAL, DN 40 MM, FORNECIDO E INSTALADO EM RAMAL DE DESCARGA OU RAMAL DE ESGOTO SANITÁRIO</t>
  </si>
  <si>
    <t>14.21</t>
  </si>
  <si>
    <t>TUBO PVC, SERIE NORMAL, ESGOTO PREDIAL, DN 100 MM, FORNECIDO E INSTALADO EM RAMAL DE DESCARGA OU RAMAL DE ESGOTO SANITÁRIO</t>
  </si>
  <si>
    <t>14.22</t>
  </si>
  <si>
    <t>TE, PVC, SERIE NORMAL, ESGOTO PREDIAL, DN 40 X 40 MM, JUNTA SOLDÁVEL, FORNECIDO E INSTALADO EM RAMAL DE DESCARGA OU RAMAL DE ESGOTO SANITÁRIO.</t>
  </si>
  <si>
    <t>14.23</t>
  </si>
  <si>
    <t>TE, PVC, SERIE NORMAL, ESGOTO PREDIAL, DN 50 X 50 MM, JUNTA ELÁSTICA FORNECIDO E INSTALADO EM RAMAL DE DESCARGA OU RAMAL DE ESGOTO SANITÁRIO.</t>
  </si>
  <si>
    <t>14.24</t>
  </si>
  <si>
    <t>TE, PVC, SERIE NORMAL, ESGOTO PREDIAL, DN 100 X 100 MM, JUNTA ELÁSTICA, FORNECIDO E INSTALADO EM RAMAL DE DESCARGA OU RAMAL DE ESGOTO SANITÁRIO.</t>
  </si>
  <si>
    <t>14.25</t>
  </si>
  <si>
    <t>74166/002</t>
  </si>
  <si>
    <t>CAIXA DE INSPECAO EM ANEL DE CONCRETO PRE MOLDADO, COM 950MM DE ALTURA TOTAL. ANEIS COM ESP=50MM, DIAM.=600MM. EXCLUSIVE TAMPAO E ESCAVACAO</t>
  </si>
  <si>
    <t>14.26</t>
  </si>
  <si>
    <t>TUBO PVC, SERIE NORMAL, ESGOTO PREDIAL, DN 150 MM, FORNECIDO E INSTALA DO EM SUBCOLETOR AÉREO DE ESGOTO SANITÁRIO.</t>
  </si>
  <si>
    <t>TOTAL INST. HIDRO SANIT.  - PNE</t>
  </si>
  <si>
    <t>15.0</t>
  </si>
  <si>
    <t>INSTALAÇÃO HIDRAULICA E LOUÇAS</t>
  </si>
  <si>
    <t>15.1</t>
  </si>
  <si>
    <t>REGISTRO DE GAVETA BRUTO, LATÃO, ROSCÁVEL, 2”, FORNECIMENTO E INSTALAÇÃO.</t>
  </si>
  <si>
    <t>15.2</t>
  </si>
  <si>
    <t>REGISTRO DE GAVETA BRUTO, LATÃO, ROSCÁVEL, 3/4, FORNECIMENTO E INSTALAÇÃO.</t>
  </si>
  <si>
    <t>15.3</t>
  </si>
  <si>
    <t>TORNEIRA AUTOMATICA CROMADA DE MESA, 1/2" OU 3/4", PARA LAVATÓRIO, PADRÃO MÉDIO - 
FORNECIMENTO E INSTALAÇÃO.</t>
  </si>
  <si>
    <t>15.4</t>
  </si>
  <si>
    <t>TORNEIRA CROMADA 1/2" OU 3/4" PARA JARDIM, PADRÃO MÉDIO – FORNECIMENTO E INSTALAÇÃO. (fundo PNE)</t>
  </si>
  <si>
    <t>15.5</t>
  </si>
  <si>
    <t>VALVULA DESCARGA 1.1/2" COM REGISTRO, ACABAMENTO EM METAL CROMADO – FORNECIMENTO E INSTALACAO</t>
  </si>
  <si>
    <t>15.6</t>
  </si>
  <si>
    <t>ENGATE FLEXÍVEL EM PLÁSTICO BRANCO, 1/2" X 40CM - FORNECIMENTO E INSTALAÇÃO</t>
  </si>
  <si>
    <t>15.7</t>
  </si>
  <si>
    <t>COMP.024</t>
  </si>
  <si>
    <t>DUCHA HIGIENICA COM REGISTRO METALICO 1/2" FORNECIMENTO E INSTALAÇÃO</t>
  </si>
  <si>
    <t>15.8</t>
  </si>
  <si>
    <t>CHUVEIRO ELETRICO COMUM CORPO PLASTICO TIPO DUCHA, FORNECIMENTO E INSTALACAO</t>
  </si>
  <si>
    <t>15.9</t>
  </si>
  <si>
    <t>TUBO, PVC, SOLDÁVEL, DN 60MM, INSTALADO EM PRUMADA DE ÁGUA – FORNECIMENTO E INSTALAÇÃO.</t>
  </si>
  <si>
    <t>15.10</t>
  </si>
  <si>
    <t>TUBO, PVC, SOLDÁVEL, DN 50MM, INSTALADO EM PRUMADA DE ÁGUA – FORNECIMENTO E INSTALAÇÃO.</t>
  </si>
  <si>
    <t>15.11</t>
  </si>
  <si>
    <t>TUBO, PVC, SOLDÁVEL, DN 25MM, INSTALADO EM PRUMADA DE ÁGUA – FORNECIMENTO E INSTALAÇÃO.</t>
  </si>
  <si>
    <t>CONEXÕES PVC</t>
  </si>
  <si>
    <t>15.12</t>
  </si>
  <si>
    <t>JOELHO 90 GRAUS, PVC, SOLDÁVEL, DN 60MM, INSTALADO EM PRUMADA DE ÁGUA- FORNECIMENTO E INSTALAÇÃO.</t>
  </si>
  <si>
    <t>15.13</t>
  </si>
  <si>
    <t>JOELHO 90 GRAUS, PVC, SOLDÁVEL, DN 50MM, INSTALADO EM PRUMADA DE ÁGUA - FORNECIMENTO E INSTALAÇÃO.</t>
  </si>
  <si>
    <t>15.14</t>
  </si>
  <si>
    <t xml:space="preserve">JOELHO 90 GRAUS, PVC, SOLDÁVEL, DN 25MM, INSTALADO EM PRUMADA DE ÁGUA - FORNECIMENTO E INSTALAÇÃO. </t>
  </si>
  <si>
    <t>15.15</t>
  </si>
  <si>
    <t>JOELHO 90 GRAUS COM BUCHA DE LATÃO, PVC, SOLDÁVEL, DN 25 MM, X 3/4 INSTALADO EM RESERVAÇÃO DE ÁGUA DE EDIFICAÇÃO QUE POSSUA RESERVATÓRIO DE FIBRA/FIBROCIMENTO FORNECIMENTO E INSTALAÇÃO.</t>
  </si>
  <si>
    <t>15.16</t>
  </si>
  <si>
    <t>TE, PVC, SOLDÁVEL, DN 60MM, INSTALADO EM PRUMADA DE ÁGUA – FORNECIMENTO E INSTALAÇÃO.</t>
  </si>
  <si>
    <t>15.17</t>
  </si>
  <si>
    <t>TE, PVC, SOLDÁVEL, DN 50MM, INSTALADO EM PRUMADA DE ÁGUA – FORNECIMENTO E INSTALAÇÃO.</t>
  </si>
  <si>
    <t>15.18</t>
  </si>
  <si>
    <t>TÊ DE REDUÇÃO, PVC, SOLDÁVEL, DN 50 MM X 40 MM, INSTALADO EM RESERVAÇÃ UN CR 20,62
O DE ÁGUA DE EDIFICAÇÃO QUE POSSUA RESERVATÓRIO DE FIBRA/FIBROCIMENTO
FORNECIMENTO E INSTALAÇÃO. AF_06/2016</t>
  </si>
  <si>
    <t>15.19</t>
  </si>
  <si>
    <t>BUCHA DE REDUÇÃO, PPR, 40 X 25, CLASSE PN 25, INSTALADO EM RAMAL DE DI UN AS 17,70
STRIBUIÇÃO DE ÁGUA FORNECIMENTO E INSTALAÇÃO .</t>
  </si>
  <si>
    <t>15.20</t>
  </si>
  <si>
    <t xml:space="preserve">TE, PVC, SOLDÁVEL, DN 25MM, INSTALADO EM PRUMADA DE ÁGUA - FORNECIMENTO E INSTALAÇÃO. </t>
  </si>
  <si>
    <t>15.21</t>
  </si>
  <si>
    <t>ADAPTADOR CURTO COM BOLSA E ROSCA PARA REGISTRO, PVC, SOLDÁVEL, DN 60MM X 2 , FORNECIMENTO E INSTALAÇÃO.</t>
  </si>
  <si>
    <t>15.22</t>
  </si>
  <si>
    <t>ADAPTADOR CURTO COM BOLSA E ROSCA PARA REGISTRO, PVC, SOLDÁVEL, DN 25MM X 3/4 ,FORNECIMENTO E INSTALAÇÃO.</t>
  </si>
  <si>
    <t>15.23</t>
  </si>
  <si>
    <t>ADAPTADOR CURTO COM BOLSA E ROSCA PARA REGISTRO, PVC, SOLDÁVEL, DN 50MM X 1 1/2 , INSTALADO EM RESERVAÇÃO DE ÁGUA DE EDIFICAÇÃO QUE POSSUA RESERVATÓRIO DE FIBRA/FIBROCIMENTO FORNECIMENTO E INSTALAÇÃO.</t>
  </si>
  <si>
    <t>15.24</t>
  </si>
  <si>
    <t>LUVA, PVC, SOLDÁVEL, DN 60MM, INSTALADO EM PRUMADA DE ÁGUA - FORNECIMENTO E INSTALAÇÃO.</t>
  </si>
  <si>
    <t>15.25</t>
  </si>
  <si>
    <t>LUVA, PVC, SOLDÁVEL, DN 25MM, INSTALADO EM RAMAL OU SUB-RAMAL DE ÁGUA- FORNECIMENTO E INSTALAÇÃO.</t>
  </si>
  <si>
    <t>15.26</t>
  </si>
  <si>
    <t>LUVA COM BUCHA DE LATÃO, PVC, SOLDÁVEL, DN 25MM X 3/4, INSTALADO EM PRUMADA DE ÁGUA - FORNECIMENTO E INSTALAÇÃO.</t>
  </si>
  <si>
    <t>15.27</t>
  </si>
  <si>
    <t>LUVA DE REDUÇÃO, PVC, SOLDÁVEL, DN 60MM X 50MM, INSTALADO EM PRUMADA DE ÁGUA - FORNECIMENTO E INSTALAÇÃO.</t>
  </si>
  <si>
    <t>15.28</t>
  </si>
  <si>
    <t>BUCHA DE REDUÇÃO, PVC, SOLDÁVEL, DN 40MM X 32MM, INSTALADO EM RAMAL OU SUB-RAMAL DE ÁGUA - FORNECIMENTO E INSTALAÇÃO.</t>
  </si>
  <si>
    <t>15.29</t>
  </si>
  <si>
    <t>LUVA DE REDUÇÃO, PVC, SOLDÁVEL, DN 32MM X 25MM, INSTALADO EM RAMAL DE DISTRIBUIÇÃO DE ÁGUA - FORNECIMENTO E INSTALAÇÃO.</t>
  </si>
  <si>
    <t>15.30</t>
  </si>
  <si>
    <t>COMP.025</t>
  </si>
  <si>
    <t>PLUG 3/4"FORNECIMENTO E INSTALAÇÃO</t>
  </si>
  <si>
    <t>15.31</t>
  </si>
  <si>
    <t>COMP.027</t>
  </si>
  <si>
    <t>BARRA DE APOIO PORTADORES DE NECESSIDADES ESPECIAIS, LARGURA 80CM</t>
  </si>
  <si>
    <t>15.32</t>
  </si>
  <si>
    <t>COMP.026</t>
  </si>
  <si>
    <t>BARRA DE APOIO PORTADORES DE NECESSIDADES ESPECIAIS, LARGURA 70CM</t>
  </si>
  <si>
    <t>15.33</t>
  </si>
  <si>
    <t>COMP.028</t>
  </si>
  <si>
    <t>BARRA DE APOIO PORTADORES DE NECESSIDADES ESPECIAIS, LARGURA 50CM</t>
  </si>
  <si>
    <t>15.34</t>
  </si>
  <si>
    <t>VASO SANITARIO SIFONADO CONVENCIONAL COM LOUÇA BRANCA, INCLUSO CONJUNTO DE LIGAÇÃO PARA BACIA SANITÁRIA AJUSTÁVEL - FORNECIMENTO E INSTALAÇÃO.</t>
  </si>
  <si>
    <t>15.35</t>
  </si>
  <si>
    <t>COMP.020</t>
  </si>
  <si>
    <t>REAPROVEITAMENTO E INSTALAÇÃO DE VASO SANITARIO SIFONADO CONVENCIONAL LOUÇA BRANCA</t>
  </si>
  <si>
    <t>15.36</t>
  </si>
  <si>
    <t>LAVATÓRIO LOUÇA BRANCA COM COLUNA, *44 X 35,5* CM, PADRÃO POPULAR - FORNECIMENTO E INSTALAÇÃO.</t>
  </si>
  <si>
    <t>15.37</t>
  </si>
  <si>
    <t>COMP.021</t>
  </si>
  <si>
    <t>REAPROVEITAMENTO E INSTALAÇÃO DE LAVATÓRIO DE LOUÇA BRANCA COM COLUNA  CONVENCIONAL</t>
  </si>
  <si>
    <t>15.38</t>
  </si>
  <si>
    <t xml:space="preserve"> PAPELEIRA DE PAREDE EM METAL CROMADO SEM TAMPA, INCLUSO FIXAÇÃO.</t>
  </si>
  <si>
    <t>15.39</t>
  </si>
  <si>
    <t>COMP.029</t>
  </si>
  <si>
    <t>ASSENTO SANITARIO DE PLASTICO, TIPO CONVENCIONAL - FONECIMENTO E INSTALAÇÃO</t>
  </si>
  <si>
    <t>15.40</t>
  </si>
  <si>
    <t>SABONETEIRA PLASTICA TIPO DISPENSER PARA SABONETE LIQUIDO COM RESERVATORIO 800 A 1500 ML, INCLUSO FIXAÇÃO.</t>
  </si>
  <si>
    <t>15.41</t>
  </si>
  <si>
    <t xml:space="preserve"> ESCAVAÇÃO MANUAL DE VALAS.</t>
  </si>
  <si>
    <t>15.42</t>
  </si>
  <si>
    <t>REATERRO MANUAL DE VALAS COM COMPACTAÇÃO MECANIZADA.</t>
  </si>
  <si>
    <t>TOTAL INST. HIDRO SANIT. LOUÇAS</t>
  </si>
  <si>
    <t>16.0</t>
  </si>
  <si>
    <t>INSTALAÇÃO ELÉTRICA</t>
  </si>
  <si>
    <t>16.1</t>
  </si>
  <si>
    <t>REMOÇÃO DE CABOS ELÉTRICOS, DE FORMA MANUAL, SEM REAPROVEITAMENTO</t>
  </si>
  <si>
    <t>QUADRO DE DISTRIBUIÇÃO</t>
  </si>
  <si>
    <t>16.2</t>
  </si>
  <si>
    <t>COMP.031</t>
  </si>
  <si>
    <t>QUADRO DE DISTRIBUICAO COM BARRAMENTO TRIFASICO, DE SOBREPOR, EM CHAPA DE ACO GALVANIZADO, PARA 18 DISJUNTORES DIN, 100 A FORNECIMENTO E INSTALACAO</t>
  </si>
  <si>
    <t>16.3</t>
  </si>
  <si>
    <t>COMP.032</t>
  </si>
  <si>
    <t>QUADRO DE DISTRIBUICAO COM BARRAMENTO TRIFASICO, DE SOBREPOR, EM CHAPA DE ACO GALVANIZADO, PARA 24 DISJUNTORES DIN, 100 A</t>
  </si>
  <si>
    <t>16.4</t>
  </si>
  <si>
    <t>COMP.033</t>
  </si>
  <si>
    <t>QUADRO DE DISTRIBUICAO COM BARRAMENTO TRIFASICO, DE SOBREPOR, EM CHAPA DE ACO GALVANIZADO, PARA 36 DISJUNTORES DIN, 100 A</t>
  </si>
  <si>
    <t>DISPOSITIVOS DE PROTEÇÃO</t>
  </si>
  <si>
    <t>16.5</t>
  </si>
  <si>
    <t>DISJUNTOR MONOPOLAR TIPO DIN, CORRENTE NOMINAL DE 10A - FORNECIMENTO E INSTALAÇÃO.</t>
  </si>
  <si>
    <t>16.6</t>
  </si>
  <si>
    <t>DISJUNTOR MONOPOLAR TIPO DIN, CORRENTE NOMINAL DE 16A - FORNECIMENTO E INSTALAÇÃO.</t>
  </si>
  <si>
    <t>16.7</t>
  </si>
  <si>
    <t>DISJUNTOR MONOPOLAR TIPO DIN, CORRENTE NOMINAL DE 20A - FORNECIMENTO E INSTALAÇÃO.</t>
  </si>
  <si>
    <t>16.8</t>
  </si>
  <si>
    <t>DISJUNTOR MONOPOLAR TIPO DIN, CORRENTE NOMINAL DE 25A - FORNECIMENTO E INSTALAÇÃO.</t>
  </si>
  <si>
    <t>16.9</t>
  </si>
  <si>
    <t>DISJUNTOR MONOPOLAR TIPO DIN, CORRENTE NOMINAL DE 32A - FORNECIMENTO E INSTALAÇÃO.</t>
  </si>
  <si>
    <t>un</t>
  </si>
  <si>
    <t>16.10</t>
  </si>
  <si>
    <t>DISJUNTOR BIPOLAR TIPO DIN, CORRENTE NOMINAL DE 10A - FORNECIMENTO E INSTALAÇÃO.</t>
  </si>
  <si>
    <t>16.11</t>
  </si>
  <si>
    <t>DISJUNTOR BIPOLAR TIPO DIN, CORRENTE NOMINAL DE 25A - FORNECIMENTO E INSTALAÇÃO.</t>
  </si>
  <si>
    <t>16.12</t>
  </si>
  <si>
    <t>DISJUNTOR BIPOLAR TIPO DIN, CORRENTE NOMINAL DE 32A - FORNECIMENTO E INSTALAÇÃO.</t>
  </si>
  <si>
    <t>16.13</t>
  </si>
  <si>
    <t>DISJUNTOR BIPOLAR TIPO DIN, CORRENTE NOMINAL DE 40A - FORNECIMENTO E INSTALAÇÃO.</t>
  </si>
  <si>
    <t>16.14</t>
  </si>
  <si>
    <t>DISJUNTOR BIPOLAR TIPO DIN, CORRENTE NOMINAL DE 50A - FORNECIMENTO E INSTALAÇÃO.</t>
  </si>
  <si>
    <t>16.15</t>
  </si>
  <si>
    <t>COMP.034</t>
  </si>
  <si>
    <t>DISJUNTOR BIPOLAR TIPO DIN, CORRENTE NOMINAL DE 63A - FORNECIMENTO E INSTALAÇÃO.</t>
  </si>
  <si>
    <t>16.16</t>
  </si>
  <si>
    <t>COMP.035</t>
  </si>
  <si>
    <t>DISJUNTOR BIPOLAR TIPO DIN, CORRENTE NOMINAL DE 70A - FORNECIMENTO E INSTALAÇÃO.</t>
  </si>
  <si>
    <t>16.17</t>
  </si>
  <si>
    <t>COMP.036</t>
  </si>
  <si>
    <t>DISJUNTOR BIPOLAR TIPO DIN, CORRENTE NOMINAL DE 80A - FORNECIMENTO E INSTALAÇÃO.</t>
  </si>
  <si>
    <t>16.18</t>
  </si>
  <si>
    <t>DISJUNTOR TRIPOLAR TIPO DIN, CORRENTE NOMINAL DE 50A - FORNECIMENTO E INSTALAÇÃO.</t>
  </si>
  <si>
    <t>16.19</t>
  </si>
  <si>
    <t>COMP.037</t>
  </si>
  <si>
    <t>DISJUNTOR TRIPOLAR TIPO DIN, CORRENTE NOMINAL DE 63A - FORNECIMENTO E INSTALAÇÃO.</t>
  </si>
  <si>
    <t>16.20</t>
  </si>
  <si>
    <t>COMP.038</t>
  </si>
  <si>
    <t>DISJUNTOR TRIPOLAR TIPO DIN, CORRENTE NOMINAL DE 150A - FORNECIMENTO E INSTALAÇÃO.</t>
  </si>
  <si>
    <t>16.21</t>
  </si>
  <si>
    <t>COMP.039</t>
  </si>
  <si>
    <t>DISJUNTOR TRIPOLAR TIPO DIN, CORRENTE NOMINAL DE 125A - FORNECIMENTO E INSTALAÇÃO.</t>
  </si>
  <si>
    <t>16.22</t>
  </si>
  <si>
    <t>COMP.040</t>
  </si>
  <si>
    <t>DISJUNTOR TRIPOLAR TIPO DIN, CORRENTE NOMINAL DE 200A - FORNECIMENTO E INSTALAÇÃO.</t>
  </si>
  <si>
    <t>16.23</t>
  </si>
  <si>
    <t>74130/007</t>
  </si>
  <si>
    <t>DISJUNTOR TERMOMAGNETICO TRIPOLAR EM CAIXA MOLDADA 250A 600V, FORNECIMENTO E INSTALACAO</t>
  </si>
  <si>
    <t>16.24</t>
  </si>
  <si>
    <t>COMP.041</t>
  </si>
  <si>
    <t>DISPOSITIVO DR, 4 POLOS, SENSIBILIDADE DE 30 MA, CORRENTE DE 25 A, TIPO AC - FORNECIMENTO E INSTALAÇÃO.</t>
  </si>
  <si>
    <t>16.25</t>
  </si>
  <si>
    <t>COMP.042</t>
  </si>
  <si>
    <t>DISPOSITIVO DR, 4 POLOS, SENSIBILIDADE DE 30 MA, CORRENTE DE 63 A, TIPO AC - FORNECIMENTO E INSTALAÇÃO.</t>
  </si>
  <si>
    <t>16.26</t>
  </si>
  <si>
    <t>COMP.043</t>
  </si>
  <si>
    <t>DISPOSITIVO DR, 4 POLOS, SENSIBILIDADE DE 30 MA, CORRENTE DE 100 A, TIPO AC - FORNECIMENTO E INSTALAÇÃO.</t>
  </si>
  <si>
    <t>16.27</t>
  </si>
  <si>
    <t>COMP.044</t>
  </si>
  <si>
    <t>DISPOSITIVO DPS CLASSE II, 1 POLO, TENSAO MAXIMA DE 275 V, CORRENTE MAXIMA DE *20* KA (TIPO AC)- FORNECIMENTO E INSTALAÇÃO.</t>
  </si>
  <si>
    <t>CABOS E FIOS (CONDUTORES)</t>
  </si>
  <si>
    <t>16.28</t>
  </si>
  <si>
    <t>CABO DE COBRE FLEXÍVEL ISOLADO, 2,5 MM², ANTI-CHAMA 450/750 V, PARA CIRCUITOS TERMINAIS - FORNECIMENTO E INSTALAÇÃO.</t>
  </si>
  <si>
    <t>16.29</t>
  </si>
  <si>
    <t>CABO DE COBRE FLEXÍVEL ISOLADO, 4 MM², ANTI-CHAMA 450/750 V, PARA CIRCUITOS TERMINAIS - FORNECIMENTO E INSTALAÇÃO.</t>
  </si>
  <si>
    <t>16.30</t>
  </si>
  <si>
    <t>CABO DE COBRE FLEXÍVEL ISOLADO, 6MM², ANTI-CHAMA 450/750 V, PARA CIRCUITOS TERMINAIS - FORNECIMENTO E INSTALAÇÃO.</t>
  </si>
  <si>
    <t>16.31</t>
  </si>
  <si>
    <t>CABO DE COBRE FLEXÍVEL ISOLADO, 2,5 MM², ANTI-CHAMA 0,6/1,0 KV, PARA CIRCUITOS TERMINAIS - FORNECIMENTO E INSTALAÇÃO.</t>
  </si>
  <si>
    <t>16.32</t>
  </si>
  <si>
    <t>CABO DE COBRE FLEXÍVEL ISOLADO, 10 MM², ANTI-CHAMA 0,6/1,0 KV, PARA CIRCUITOS TERMINAIS - FORNECIMENTO E INSTALAÇÃO.</t>
  </si>
  <si>
    <t>16.33</t>
  </si>
  <si>
    <t>CABO DE COBRE FLEXÍVEL ISOLADO, 16 MM², ANTI-CHAMA 0,6/1,0 KV, PARA CIRCUITOS TERMINAIS - FORNECIMENTO E INSTALAÇÃO.</t>
  </si>
  <si>
    <t>16.34</t>
  </si>
  <si>
    <t>CABO DE COBRE FLEXÍVEL ISOLADO, 25 MM², ANTI-CHAMA 0,6/1,0 KV, PARA CIRCUITOS TERMINAIS - FORNECIMENTO E INSTALAÇÃO.</t>
  </si>
  <si>
    <t>16.35</t>
  </si>
  <si>
    <t>CABO DE COBRE FLEXÍVEL ISOLADO,35 MM², ANTI-CHAMA 0,6/1,0 KV, PARA CIRCUITOS TERMINAIS - FORNECIMENTO E INSTALAÇÃO.</t>
  </si>
  <si>
    <t>16.36</t>
  </si>
  <si>
    <t>CABO DE COBRE FLEXÍVEL ISOLADO, 50 MM², ANTI-CHAMA 0,6/1,0 KV, PARA CIRCUITOS TERMINAIS - FORNECIMENTO E INSTALAÇÃO.</t>
  </si>
  <si>
    <t>16.37</t>
  </si>
  <si>
    <t>CABO DE COBRE FLEXÍVEL ISOLADO, 70 MM², ANTI-CHAMA 0,6/1,0 KV, PARA CIRCUITOS TERMINAIS - FORNECIMENTO E INSTALAÇÃO.</t>
  </si>
  <si>
    <t>ELETRODUTOS E ACESSÓRIOS</t>
  </si>
  <si>
    <t>16.38</t>
  </si>
  <si>
    <t>ELETRODUTO DE AÇO GALVANIZADO, CLASSE LEVE, DN 20 MM (3/4), APARENTE, INSTALADO EM PAREDE - FORNECIMENTO E INSTALAÇÃO</t>
  </si>
  <si>
    <t>16.39</t>
  </si>
  <si>
    <t>ELETRODUTO DE AÇO GALVANIZADO, CLASSE LEVE, DN 25 MM (1), APARENTE,INSTALADO EM PAREDE - FORNECIMENTO E INSTALAÇÃO.</t>
  </si>
  <si>
    <t>16.40</t>
  </si>
  <si>
    <t>COMP.045</t>
  </si>
  <si>
    <t>ELETRODUTO EM ACO GALVANIZADO ELETROLITICO, SEMI-PESADO, DIAMETRO 1 1/2",PAREDE DE 1,20 MM- FORNECIMENTO E INSTALAÇÃO.</t>
  </si>
  <si>
    <t>16.41</t>
  </si>
  <si>
    <t>COMP.046</t>
  </si>
  <si>
    <t>ELETRODUTO EM ACO GALVANIZADO ELETROLITICO, SEMI-PESADO, DIAMETRO 2 1/2", PAREDE DE 1,20 MM- FORNECIMENTO E INSTALAÇÃO.</t>
  </si>
  <si>
    <t>16.42</t>
  </si>
  <si>
    <t>COMP.072</t>
  </si>
  <si>
    <t>ELETRODUTODUTO PEAD FLEXIVEL PAREDE SIMPLES, CORRUGACAO HELICOIDAL, COR PRETA, SEM ROSCA, DE 1 1/4", PARA CABEAMENTO SUBTERRANEO (NBR 15715)- FORNECIMENTO E INSTALAÇÃO.</t>
  </si>
  <si>
    <t>16.43</t>
  </si>
  <si>
    <t>ELETRODUTO RÍGIDO ROSCÁVEL, PVC, DN 25 MM (3/4"), PARA CIRCUITOS TERMINAIS, INSTALADO EM FORRO - FORNECIMENTO E INSTALAÇÃO.</t>
  </si>
  <si>
    <t>16.44</t>
  </si>
  <si>
    <t>ELETRODUTO RÍGIDO ROSCÁVEL, PVC, DN 32 MM (1"), PARA CIRCUITOS TERMINAIS, INSTALADO EM FORRO - FORNECIMENTO E INSTALAÇÃO.</t>
  </si>
  <si>
    <t>16.45</t>
  </si>
  <si>
    <t>CONDULETE DE ALUMÍNIO, TIPO E, PARA ELETRODUTO DE AÇO GALVANIZADO DN 20 MM (3/4''), APARENTE - FORNECIMENTO E INSTALAÇÃO.</t>
  </si>
  <si>
    <t>16.46</t>
  </si>
  <si>
    <t>CONDULETE DE ALUMÍNIO, TIPO E, PARA ELETRODUTO DE AÇO GALVANIZADO DN 25 MM (1''), APARENTE - FORNECIMENTO E INSTALAÇÃO.</t>
  </si>
  <si>
    <t>16.47</t>
  </si>
  <si>
    <t>CONDULETE DE ALUMÍNIO, TIPO E, PARA ELETRODUTO DE AÇO GALVANIZADO DN 32 MM (1,1/4''), APARENTE - FORNECIMENTO E INSTALAÇÃO.</t>
  </si>
  <si>
    <t>16.48</t>
  </si>
  <si>
    <t>CONDULETE DE ALUMÍNIO, TIPO C, PARA ELETRODUTO DE AÇO GALVANIZADO DN 20 MM (3/4''), APARENTE - FORNECIMENTO E INSTALAÇÃO.</t>
  </si>
  <si>
    <t>16.49</t>
  </si>
  <si>
    <t>CONDULETE DE ALUMÍNIO, TIPO C, PARA ELETRODUTO DE AÇO GALVANIZADO DN 25 MM (1''), APARENTE - FORNECIMENTO E INSTALAÇÃO.</t>
  </si>
  <si>
    <t>16.50</t>
  </si>
  <si>
    <t>CONDULETE DE ALUMÍNIO, TIPO C, PARA ELETRODUTO DE AÇO GALVANIZADO DN 32 MM (1,1/4''), APARENTE - FORNECIMENTO E INSTALAÇÃO.</t>
  </si>
  <si>
    <t>16.51</t>
  </si>
  <si>
    <t>CONDULETE DE ALUMÍNIO, TIPO T, PARA ELETRODUTO DE AÇO GALVANIZADO DN 20 MM (3/4''), APARENTE - FORNECIMENTO E INSTALAÇÃO.</t>
  </si>
  <si>
    <t>16.52</t>
  </si>
  <si>
    <t>CONDULETE DE ALUMÍNIO, TIPO T, PARA ELETRODUTO DE AÇO GALVANIZADO DN 25 MM (1''), APARENTE - FORNECIMENTO E INSTALAÇÃO.</t>
  </si>
  <si>
    <t>16.53</t>
  </si>
  <si>
    <t>CONDULETE DE ALUMÍNIO, TIPO T, PARA ELETRODUTO DE AÇO GALVANIZADO DN 32 MM (1,1/4''), APARENTE - FORNECIMENTO E INSTALAÇÃO.</t>
  </si>
  <si>
    <t>16.54</t>
  </si>
  <si>
    <t>CONDULETE DE ALUMÍNIO, TIPO LL, PARA ELETRODUTO DE AÇO GALVANIZADO DN 20 MM (3/4''), APARENTE - FORNECIMENTO E INSTALAÇÃO.</t>
  </si>
  <si>
    <t>16.55</t>
  </si>
  <si>
    <t>CONDULETE DE ALUMÍNIO, TIPO LL, PARA ELETRODUTO DE AÇO GALVANIZADO DN 25 MM (1''), APARENTE - FORNECIMENTO E INSTALAÇÃO.</t>
  </si>
  <si>
    <t>16.56</t>
  </si>
  <si>
    <t>CONDULETE DE ALUMÍNIO, TIPO LL, PARA ELETRODUTO DE AÇO GALVANIZADO DN 32 MM (1,1/4''), APARENTE - FORNECIMENTO E INSTALAÇÃO.</t>
  </si>
  <si>
    <t>16.57</t>
  </si>
  <si>
    <t>LUVA DE EMENDA PARA ELETRODUTO, AÇO GALVANIZADO, DN 20 MM (3/4 ), APARENTE, INSTALADA EM PAREDE - FORNECIMENTO E INSTALAÇÃO.</t>
  </si>
  <si>
    <t>16.58</t>
  </si>
  <si>
    <t>LUVA DE EMENDA PARA ELETRODUTO, AÇO GALVANIZADO, DN 25 MM (1"), APARENTE, INSTALADA EM PAREDE - FORNECIMENTO E INSTALAÇÃO.</t>
  </si>
  <si>
    <t>16.59</t>
  </si>
  <si>
    <t>LUVA DE EMENDA PARA ELETRODUTO, AÇO GALVANIZADO, DN 32 MM (1,1/4 ), APARENTE, INSTALADA EM PAREDE - FORNECIMENTO E INSTALAÇÃO.</t>
  </si>
  <si>
    <t>16.60</t>
  </si>
  <si>
    <t>COMP.048</t>
  </si>
  <si>
    <t>CURVA 90 GRAUS, PARA ELETRODUTO, EM ACO GALVANIZADO ELETROLITICO, DIAMETRO DE 20 MM (3/4") - FORNECIMENTO E INSTALAÇÃO.</t>
  </si>
  <si>
    <t>16.61</t>
  </si>
  <si>
    <t>COMP.049</t>
  </si>
  <si>
    <t>CURVA 90 GRAUS, PARA ELETRODUTO, EM ACO GALVANIZADO ELETROLITICO, DIAMETRO DE 25 MM (1") - FORNECIMENTO E INSTALAÇÃO.</t>
  </si>
  <si>
    <t>16.62</t>
  </si>
  <si>
    <t>COMP.050</t>
  </si>
  <si>
    <t>CURVA 90 GRAUS, PARA ELETRODUTO, EM ACO GALVANIZADO ELETROLITICO, DIAMETRO DE 32 MM (1 1/4") - FORNECIMENTO E INSTALAÇÃO.</t>
  </si>
  <si>
    <t>16.63</t>
  </si>
  <si>
    <t>TOMADA MÉDIA DE EMBUTIR (1 MÓDULO), 2P+T 10 A, INCLUINDO SUPORTE E PLAA - FORNECIMENTO E INSTALAÇÃO.</t>
  </si>
  <si>
    <t>16.64</t>
  </si>
  <si>
    <t>TOMADA MÉDIA DE EMBUTIR (2 MÓDULOS), 2P+T 10 A, INCLUINDO SUPORTE E PL ACA - FORNECIMENTO E INSTALAÇÃO.</t>
  </si>
  <si>
    <t>16.65</t>
  </si>
  <si>
    <t>TOMADA MÉDIA DE EMBUTIR (3 MÓDULOS), 2P+T 10 A, INCLUINDO SUPORTE E PLACA - FORNECIMENTO E INSTALAÇÃO.</t>
  </si>
  <si>
    <t>16.66</t>
  </si>
  <si>
    <t>TOMADA MÉDIA DE EMBUTIR (1 MÓDULO), 2P+T 20 A, INCLUINDO SUPORTE E PLACA - FORNECIMENTO E INSTALAÇÃO.</t>
  </si>
  <si>
    <t>16.67</t>
  </si>
  <si>
    <t>INTERRUPTOR SIMPLES (1 MÓDULO), 10A/250V, INCLUINDO SUPORTE E PLACA FORNECIMENTO E INSTALAÇÃO.</t>
  </si>
  <si>
    <t>16.68</t>
  </si>
  <si>
    <t xml:space="preserve">INTERRUPTOR SIMPLES (2 MÓDULOS), 10A/250V, INCLUINDO SUPORTE E PLACAFORNECIMENTO E INSTALAÇÃO. </t>
  </si>
  <si>
    <t>16.69</t>
  </si>
  <si>
    <t>INTERRUPTOR SIMPLES (3 MÓDULOS), 10A/250V, INCLUINDO SUPORTE E PLACA FORNECIMENTO E INSTALAÇÃO.</t>
  </si>
  <si>
    <t>16.70</t>
  </si>
  <si>
    <t>COMP.051</t>
  </si>
  <si>
    <t>COLUNA PLUS STANDAR 3M C/ ACESSÓRIOS - FORNECIMENTO E INSTALAÇÃO.</t>
  </si>
  <si>
    <t>LUMINÁRIAS E ACESSÓRIOS</t>
  </si>
  <si>
    <t>16.71</t>
  </si>
  <si>
    <t>COMP.054</t>
  </si>
  <si>
    <t>LUMINARIA TIPO CALHA, DE SOBREPOR, SEM REATOR E LAMPADA LED 2X18W COMPLETA, FORNECIMENTO E INSTALACAO.</t>
  </si>
  <si>
    <t>16.72</t>
  </si>
  <si>
    <t>COMP.053</t>
  </si>
  <si>
    <t>REFLETOR LED 100W - FORNECIMENTO E INSTALAÇÃO.</t>
  </si>
  <si>
    <t>16.73</t>
  </si>
  <si>
    <t>COMP.055</t>
  </si>
  <si>
    <t>LUMINARIA DE TETO PLAFON/PLAFONIER EM PLASTICO COM BASE E27, POTENCIA MAXIMA 60 W (NAO INCLUI LAMPADA) - FORNECIMENTO E INSTALACAO.</t>
  </si>
  <si>
    <t>16.74</t>
  </si>
  <si>
    <t>COMP.071</t>
  </si>
  <si>
    <t>LUMINARIA LED REFLETOR RETANGULAR BIVOLT, LUZ BRANCA, 30 W - FORNECIMENTO E INSTALAÇÃO.</t>
  </si>
  <si>
    <t>16.75</t>
  </si>
  <si>
    <t>ELETROCALHA E ACESSÓRIOS</t>
  </si>
  <si>
    <t>16.76</t>
  </si>
  <si>
    <t>COMP.056</t>
  </si>
  <si>
    <t>CRUZETA 200X100mm PARA ELETROCALHA PERFURADA METALICA - FORNECIMENTO E INSTALAÇÃO.</t>
  </si>
  <si>
    <t>16.77</t>
  </si>
  <si>
    <t>COMP.057</t>
  </si>
  <si>
    <t>CURVA DE INVERSÃO 200X100 mm PARA ELETROCALHA - FORNECIMENTO E INSTALAÇÃO.</t>
  </si>
  <si>
    <t>16.78</t>
  </si>
  <si>
    <t>COMP.058</t>
  </si>
  <si>
    <t>CURVA HORIZONTAL PARA ELETROCALHA 200 x 100 mm METÁLICA, COM ÂNGULO 90° - FORNECIMENTO E INSTALAÇÃO.</t>
  </si>
  <si>
    <t>16.79</t>
  </si>
  <si>
    <t>COMP.059</t>
  </si>
  <si>
    <t>DESVIO À DIREITA 200 X 100MM PARA ELETROCALHA METÁLICA - FORNECIMENTO E INSTALAÇÃO.</t>
  </si>
  <si>
    <t>16.80</t>
  </si>
  <si>
    <t>COMP.060</t>
  </si>
  <si>
    <t>DESVIO À ESQUERDA 200 X 100MM PARA ELETROCALHA METÁLICA - FORNECIMENTO E INSTALAÇÃO.</t>
  </si>
  <si>
    <t>16.81</t>
  </si>
  <si>
    <t>COMP.061</t>
  </si>
  <si>
    <t>ELETROCALHA METÁLICA PERFURADA 200 X 100 X 3000 MM - FORNECIMENTO E INSTALAÇÃO.</t>
  </si>
  <si>
    <t>16.82</t>
  </si>
  <si>
    <t>COMP.062</t>
  </si>
  <si>
    <t>EMENDA INTERNA 200 X 100 MM COM BASE LISA PERFURADA PARA ELETROCALHA METÁLICA - FORNECIMENTO E INSTALAÇÃO.</t>
  </si>
  <si>
    <t>16.83</t>
  </si>
  <si>
    <t>COMP.063</t>
  </si>
  <si>
    <t>SUPORTE VERTICAL 200 X 100 MM PARA FIXAÇÃO DE ELETROCALHA METÁLICA  - FORNECIMENTO E INSTALAÇÃO.</t>
  </si>
  <si>
    <t>16.84</t>
  </si>
  <si>
    <t>COMP.064</t>
  </si>
  <si>
    <t>TAMPA DE ENCAIXE 200 MM PARA ELETROCALHA METÁLICA  - FORNECIMENTO E INSTALAÇÃO.</t>
  </si>
  <si>
    <t>16.85</t>
  </si>
  <si>
    <t>COMP.065</t>
  </si>
  <si>
    <t>TÊ HORIZONTAL 200 X 100MM PARA ELETROCALHA METÁLICA   - FORNECIMENTO E INSTALAÇÃO.</t>
  </si>
  <si>
    <t>16.86</t>
  </si>
  <si>
    <t>COMP.066</t>
  </si>
  <si>
    <t>TÊ VERTICAL 200 X 100 MM PARA ELETROCALHA METÁLICA - FORNECIMENTO E INSTALAÇÃO.</t>
  </si>
  <si>
    <t>16.87</t>
  </si>
  <si>
    <t>COMP.067</t>
  </si>
  <si>
    <t>SAÍDA HORIZONTAL PARA ELETRODUTO 2" - FORNECIMENTO E INSTALAÇÃO.</t>
  </si>
  <si>
    <t>16.88</t>
  </si>
  <si>
    <t>COMP.068</t>
  </si>
  <si>
    <t>SAÍDA HORIZONTAL PARA ELETRODUTO 3/4"- FORNECIMENTO E INSTALAÇÃO.</t>
  </si>
  <si>
    <t>16.89</t>
  </si>
  <si>
    <t>COMP.069</t>
  </si>
  <si>
    <t>PARAFUSO CABEÇA LENTILHA AUTO-TRAVANTE 1/4" X 1/2" - FORNECIMENTO E INSTALACAO.</t>
  </si>
  <si>
    <t>16.90</t>
  </si>
  <si>
    <t>COMP.070</t>
  </si>
  <si>
    <t>CHUMBADOR, DIAMETRO 1/4" COM PARAFUSO 1/4" X 40 MM- FORNECIMENTO E INSTALAÇÃO.</t>
  </si>
  <si>
    <t>CAIXA DE PASSAEM</t>
  </si>
  <si>
    <t>16.91</t>
  </si>
  <si>
    <t>COMP.086</t>
  </si>
  <si>
    <t>CAIXA DE PASSGEM 50X50X60 FUNDO BRITA C/ TAMPA</t>
  </si>
  <si>
    <t>16.92</t>
  </si>
  <si>
    <t>COMP.052</t>
  </si>
  <si>
    <t>CAIXA DE PASSAGEM METALICA DE SOBREPOR COM TAMPA PARAFUSADA, DIMENSOES 20 X 20 X 10 CM - FORNECIMENTO E INSTALAÇÃO.</t>
  </si>
  <si>
    <t>QUADRA DE AREIA</t>
  </si>
  <si>
    <t>16.93</t>
  </si>
  <si>
    <t xml:space="preserve"> CABO DE COBRE FLEXÍVEL ISOLADO, 4 MM², ANTI-CHAMA 0,6/1,0 KV, PARA CIRCUITOS TERMINAIS - FORNECIMENTO E INSTALAÇÃO.</t>
  </si>
  <si>
    <t>16.94</t>
  </si>
  <si>
    <t>COMP.073</t>
  </si>
  <si>
    <t>POSTE DE CONCRETO DUPLO T (DT), 10/ 150) - FORNECIMENTO E INSTALACAO.</t>
  </si>
  <si>
    <t>16.95</t>
  </si>
  <si>
    <t xml:space="preserve"> DISJUNTOR BIPOLAR TIPO DIN, CORRENTE NOMINAL DE 16A - FORNECIMENTO E INSTALAÇÃO.</t>
  </si>
  <si>
    <t>16.96</t>
  </si>
  <si>
    <t>16.97</t>
  </si>
  <si>
    <t>16.98</t>
  </si>
  <si>
    <t>COMP.074</t>
  </si>
  <si>
    <t>REFLETOR LED 200W - FORNECIMENTO E INSTALAÇÃO.</t>
  </si>
  <si>
    <t>16.99</t>
  </si>
  <si>
    <t>16.100</t>
  </si>
  <si>
    <t>COMP.075</t>
  </si>
  <si>
    <t>CRUZETA DE CONCRETO LEVE, COMP. 2000 MM SECAO, 90 X 90 MM - FORNECIMENTO E INSTALAÇÃO.</t>
  </si>
  <si>
    <t>CAMPO DE FUTEBOL E DEPOSITO</t>
  </si>
  <si>
    <t xml:space="preserve"> CABO DE COBRE FLEXÍVEL ISOLADO, 6 MM², ANTI-CHAMA 0,6/1,0 KV, PARA CIRCUITOS TERMINAIS - FORNECIMENTO E INSTALAÇÃO.</t>
  </si>
  <si>
    <t xml:space="preserve"> DISJUNTOR MONOPOLAR TIPO DIN, CORRENTE NOMINAL DE 10A - FORNECIMENTO E INSTALAÇÃO.</t>
  </si>
  <si>
    <t xml:space="preserve"> DISJUNTOR BIPOLAR TIPO DIN, CORRENTE NOMINAL DE 20A - FORNECIMENTO E INSTALAÇÃO.</t>
  </si>
  <si>
    <t xml:space="preserve"> DISJUNTOR BIPOLAR TIPO DIN, CORRENTE NOMINAL DE 25A - FORNECIMENTO E INSTALAÇÃO.</t>
  </si>
  <si>
    <t xml:space="preserve"> DISJUNTOR BIPOLAR TIPO DIN, CORRENTE NOMINAL DE 32A - FORNECIMENTO E INSTALAÇÃO.</t>
  </si>
  <si>
    <t xml:space="preserve"> DISJUNTOR BIPOLAR TIPO DIN, CORRENTE NOMINAL DE 40A - FORNECIMENTO E INSTALAÇÃO.</t>
  </si>
  <si>
    <t xml:space="preserve"> DISPOSITIVO DR, 4 POLOS, SENSIBILIDADE DE 30 MA, CORRENTE DE 63 A, TIPO AC - FORNECIMENTO E INSTALAÇÃO.</t>
  </si>
  <si>
    <t>COMP.076</t>
  </si>
  <si>
    <t>ELETRODUTODUTO PEAD FLEXIVEL PAREDE SIMPLES, CORRUGACAO HELICOIDAL, COR PRETA, SEM ROSCA, DE 1 1/2", PARA CABEAMENTO SUBTERRANEO (NBR 15715)- FORNECIMENTO E INSTALAÇÃO.</t>
  </si>
  <si>
    <t>UM</t>
  </si>
  <si>
    <t>QUADRO DE DISTRIBUICAO DE ENERGIA EM CHAPA DE ACO GALVANIZADO, PARA 12 DISJUNTORES TERMOMAGNETICOS MONOPOLARES, COM BARRAMENTO TRIFASICO E NEUTRO - FORNECIMENTO E INSTALACAO.</t>
  </si>
  <si>
    <t xml:space="preserve"> ELETRODUTO FLEXÍVEL CORRUGADO, PVC, DN 25 MM (3/4"), PARA CIRCUITOS TERMINAIS, INSTALADO EM FORRO - FORNECIMENTO E INSTALAÇÃO.</t>
  </si>
  <si>
    <t>POSTE DE CONCRETO DUPLO T (DT), 10/ 150 - FORNECIMENTO E INSTALACAO.</t>
  </si>
  <si>
    <t>TOTAL INSTALAÇÃO ELÉTRICA</t>
  </si>
  <si>
    <t>17.0</t>
  </si>
  <si>
    <t>MOVIMENTAÇÃO DE TERRA</t>
  </si>
  <si>
    <t>17.1</t>
  </si>
  <si>
    <t>ESCAVAÇÃO MANUAL DE VALAS. ( PARA VIGA)</t>
  </si>
  <si>
    <t>17.2</t>
  </si>
  <si>
    <t>ESCAVAÇÃO MANUAL DE VALAS. (PARA BROCA)</t>
  </si>
  <si>
    <t>17.3</t>
  </si>
  <si>
    <t>ESCAVAÇÃO MANUAL DE VALAS. (PARA DRENO)</t>
  </si>
  <si>
    <t>17.4</t>
  </si>
  <si>
    <t xml:space="preserve"> ESCAVACAO MECANICA CAMPO ABERTO EM SOLO EXCETO ROCHA ATE 2,00M PROFUNDIDADE</t>
  </si>
  <si>
    <t>17.5</t>
  </si>
  <si>
    <t>CARGA MANUAL DE ENTULHO EM CAMINHAO BASCULANTE 6 M3</t>
  </si>
  <si>
    <t>17.6</t>
  </si>
  <si>
    <t>88549</t>
  </si>
  <si>
    <t>FORNECIMENTO E ASSENTAMENTO DE LASTRO DE  BRITA, NO FUNDO DA VIGA BALDRAME ESPESSURA 5CM</t>
  </si>
  <si>
    <t>17.7</t>
  </si>
  <si>
    <t>FABRICAÇÃO, MONTAGEM E DESMONTAGEM DE FÔRMA PARA VIGA BALDRAME, EM MADEIRA SERRADA, E=25 MM, UTILIZAÇÕES</t>
  </si>
  <si>
    <t>17.8</t>
  </si>
  <si>
    <t>ARMAÇÃO DE PILAR OU VIGA DE UMA ESTRUTURA CONVENCIONAL DE CONCRETO ARMADO EM UMA EDIFÍCAÇÃO TÉRREA OU SOBRADO UTILIZANDO AÇO CA-60 DE 5.0 MM ( PARA VIGA)</t>
  </si>
  <si>
    <t>17.9</t>
  </si>
  <si>
    <t>ARMAÇÃO DE PILAR OU VIGA DE UMA ESTRUTURA CONVENCIONAL DE CONCRETO ARMADO EM UMA EDIFÍCAÇÃO TÉRREA OU SOBRADO UTILIZANDO AÇO CA-50 DE 8.0 MM - MONTAGEM.(PARA VIGA)</t>
  </si>
  <si>
    <t>17.10</t>
  </si>
  <si>
    <t>CONCRETO FCK = 20MPA, TRAÇO 1:2,7:3 (CIMENTO/ AREIA MÉDIA/ BRITA 1)</t>
  </si>
  <si>
    <t>17.11</t>
  </si>
  <si>
    <t>17.12</t>
  </si>
  <si>
    <t>ESTACA BROCA DE CONCRETO, DIÃMETRO DE 20 CM, PROFUNDIDADE DE ATÉ 3 M, ESCAVAÇÃO MANUAL COM TRADO CONCHA, NÃO ARMADA</t>
  </si>
  <si>
    <t>17.13</t>
  </si>
  <si>
    <t>ARMAÇÃO DE PILAR OU VIGA DE UMA ESTRUTURA CONVENCIONAL DE CONCRETO ARMADO EM UMA EDIFÍCAÇÃO TÉRREA OU SOBRADO UTILIZANDO AÇO CA-60 DE 5.0 MM ( PARA BROCA)</t>
  </si>
  <si>
    <t>17.14</t>
  </si>
  <si>
    <t>ARMAÇÃO DE PILAR OU VIGA DE UMA ESTRUTURA CONVENCIONAL DE CONCRETO ARMADO EM UMA EDIFÍCAÇÃO TÉRREA OU SOBRADO UTILIZANDO AÇO CA-50 DE 8.0 MM - MONTAGEM.(PARA BROCA)</t>
  </si>
  <si>
    <t>17.15</t>
  </si>
  <si>
    <t>COMPACTACAO E  PREPARO DE FUNDO DE VALA COM LARGURA MENOR QUE 1,5 M, EM LOCAL COM NÍVEL BAIXO DE INTERFERÊNCIA.</t>
  </si>
  <si>
    <t>17.16</t>
  </si>
  <si>
    <t>74005/001</t>
  </si>
  <si>
    <t>COMPACTACAO MECANICA, SEM CONTROLE DO GC (C/COMPACTADOR PLACA 400 KG) SOLO DA QUADRA</t>
  </si>
  <si>
    <t>17.17</t>
  </si>
  <si>
    <t>COMP.014</t>
  </si>
  <si>
    <t>ALAMBRADO PARA QUADRA POLIESPORTIVA, ESTRUTURADO POR TUBOS DE ACO GALVANIZADO, COM COSTURA, DIN 2440, DIAMETRO 2", COM TELA DE ARAME GALVANIZADO REVESTIDO EM PVC, LOSANGULAR  FIO 14 BWG E MALHA QUADRADA 8X8CM</t>
  </si>
  <si>
    <t>17.18</t>
  </si>
  <si>
    <t>COMP.015</t>
  </si>
  <si>
    <t>PORTAO EM TELA ARAME GALVANIZADO REVESTIDA EM PVC, LOSANGULAR, FIO 2,11MM(14BWG) MALHA 8X8 E MOLDURA EM TUBOS 2" DE ACO COM UMA FOLHAS DE ABRIR, INCLUSO FERRAGENS</t>
  </si>
  <si>
    <t>17.19</t>
  </si>
  <si>
    <t>PLANTIO DE GRAMA ESMERALDA EM ROLO, COM FERTILIZANTES E CALCARIO</t>
  </si>
  <si>
    <t>TOTAL QUADRA DE AREIA</t>
  </si>
  <si>
    <t>18.0</t>
  </si>
  <si>
    <t>CLIMATIZAÇÃO - DRENO</t>
  </si>
  <si>
    <t>18.1</t>
  </si>
  <si>
    <t xml:space="preserve"> JOELHO 45 GRAUS, PVC, SOLDÁVEL, DN 32MM, INSTALADO EM RAMAL OU SUB-RAMAL DE ÁGUA - FORNECIMENTO E INSTALAÇÃO.</t>
  </si>
  <si>
    <t>18.2</t>
  </si>
  <si>
    <t xml:space="preserve"> JOELHO 90 GRAUS, PVC, SOLDÁVEL, DN 32MM, INSTALADO EM RAMAL OU SUB-RAMAL DE ÁGUA - FORNECIMENTO E INSTALAÇÃO.</t>
  </si>
  <si>
    <t>18.3</t>
  </si>
  <si>
    <t>LUVA, PVC, SOLDÁVEL, DN 32MM, INSTALADO EM RAMAL OU SUB-RAMAL DE ÁGUA- FORNECIMENTO E INSTALAÇÃO.</t>
  </si>
  <si>
    <t>18.4</t>
  </si>
  <si>
    <t>TE, PVC, SOLDÁVEL, DN 32MM, INSTALADO EM RAMAL OU SUB-RAMAL DE ÁGUA - FORNECIMENTO E INSTALAÇÃO.</t>
  </si>
  <si>
    <t>18.5</t>
  </si>
  <si>
    <t>TUBO, PVC, SOLDÁVEL, DN 32MM, INSTALADO EM RAMAL OU SUB-RAMAL DE ÁGUA - FORNECIMENTO E INSTALAÇÃO.</t>
  </si>
  <si>
    <t>18.6</t>
  </si>
  <si>
    <t>COMP.017</t>
  </si>
  <si>
    <t>INSTALAÇÃO DE UNIDADE REFRIGERADORA</t>
  </si>
  <si>
    <t>18.7</t>
  </si>
  <si>
    <t>COMP.018</t>
  </si>
  <si>
    <t>INSTALAÇÃO DE UNIDADE CONDENSADORA</t>
  </si>
  <si>
    <t>TOTAL CLIMATIZAÇÃO DRENO</t>
  </si>
  <si>
    <t>19.0</t>
  </si>
  <si>
    <t>ADMINISTRAÇÃO DO CANTEIRO DE OBRA</t>
  </si>
  <si>
    <t>19.1</t>
  </si>
  <si>
    <t>ENGENHEIRO JUNIOR - DE OBRA</t>
  </si>
  <si>
    <t>H</t>
  </si>
  <si>
    <t>19.2</t>
  </si>
  <si>
    <t>MESTRE DE OBRAS 8meses</t>
  </si>
  <si>
    <t>TOTAL ADMINIST.DO CANTEIRO DE OBRA</t>
  </si>
  <si>
    <t>20.0</t>
  </si>
  <si>
    <t>SERVIÇOS COMPLEMENTARES</t>
  </si>
  <si>
    <t>20.1</t>
  </si>
  <si>
    <t>COMP.083</t>
  </si>
  <si>
    <t>LOCACAO DE ANDAIME METALICO TUBULAR TIPO TORRE</t>
  </si>
  <si>
    <t>M/MÊS</t>
  </si>
  <si>
    <t>20.2</t>
  </si>
  <si>
    <t xml:space="preserve"> RASGO EM ALVENARIA PARA RAMAIS/ DISTRIBUIÇÃO COM DIAMETROS MENORES OU IGUAIS A 40 MM.</t>
  </si>
  <si>
    <t>20.3</t>
  </si>
  <si>
    <t xml:space="preserve"> RASGO EM CONTRAPISO PARA RAMAIS/ DISTRIBUIÇÃO COM DIÂMETROS MAIORES QUE 40 MM E MENORES OU IGUAIS A 75MM</t>
  </si>
  <si>
    <t>20.4</t>
  </si>
  <si>
    <t>PAREDE COM PLACAS DE GESSO ACARTONADO (DRYWALL), PARA USO INTERNO, COM DUAS FACES SIMPLES E ESTRUTURA METÁLICA COM GUIAS SIMPLES, SEM VÃOS. AF_06/2017_P</t>
  </si>
  <si>
    <t>TOTAL SERVIÇOS COMPLEMENTARES</t>
  </si>
  <si>
    <t>21.0</t>
  </si>
  <si>
    <t xml:space="preserve">LIMPEZA </t>
  </si>
  <si>
    <t>21.1</t>
  </si>
  <si>
    <t>21.2</t>
  </si>
  <si>
    <t>TRANSPORTE DE ENTULHO COM CAMINHAO BASCULANTE 6 M3, RODOVIA PAVIMENTADA, DMT 0,5 A 1,0 KM</t>
  </si>
  <si>
    <t>TOTAL LIMPEZA</t>
  </si>
  <si>
    <t>T O T A L    C O M   B D I  21,5%</t>
  </si>
  <si>
    <t>INSTITUTO FEDERAL DE EDUCAÇÃO CIÊNCIAS E TECNOLOGIA DE MATO GROSSO</t>
  </si>
  <si>
    <t>IFMT - CAMPUS AVANÇADO TANGARA DA SERRA</t>
  </si>
  <si>
    <t>ESPECIFICAÇÃO DO SERVIÇO </t>
  </si>
  <si>
    <t>UNID</t>
  </si>
  <si>
    <t>COEFICIENTE</t>
  </si>
  <si>
    <t>PREÇO UNITÁRIO</t>
  </si>
  <si>
    <t>TOTAL</t>
  </si>
  <si>
    <t xml:space="preserve">LIXAMENTO DE PAREDE </t>
  </si>
  <si>
    <t>C</t>
  </si>
  <si>
    <t>88316</t>
  </si>
  <si>
    <t>SERVENTE COM ENCARGOS COMPLEMENTARES</t>
  </si>
  <si>
    <t>I</t>
  </si>
  <si>
    <t>3767</t>
  </si>
  <si>
    <t>LIXA EM FOLHA PARA PAREDE OU MADEIRA, NUMERO 120 (COR VERMELHA)</t>
  </si>
  <si>
    <t>COMP.002</t>
  </si>
  <si>
    <t xml:space="preserve">ESTRUTURA METALICA EM AÇO ESTRUTURAL PERFIL U </t>
  </si>
  <si>
    <t>SOLDA DE TOPO EM CHAPA/PERFIL/TUBO DE AÇO CHANFRADO, ESPESSURA=1/4''</t>
  </si>
  <si>
    <t>00010966 PERFIL "U" DE ACO LAMINADO, "U" 152 X 15,6 KG CR 4,11</t>
  </si>
  <si>
    <t xml:space="preserve">88315 SERRALHEIRO COM ENCARGOS COMPLEMENTARES </t>
  </si>
  <si>
    <t>88316 SERVENTE COM ENCARGOS COMPLEMENTARES</t>
  </si>
  <si>
    <t>REINSTALAÇÃO DE PORTAS DE VIDRO TEMPERADO  EXISTENTE</t>
  </si>
  <si>
    <t xml:space="preserve">88325 VIDRACEIRO COM ENCARGOS COMPLEMENTARES  </t>
  </si>
  <si>
    <t xml:space="preserve">88252 AUXILIAR DE SERVIÇOS GERAIS COM ENCARGOS COMPLEMENTARES </t>
  </si>
  <si>
    <t>00003104 JOGO DE FERRAGENS CROMADAS P/ PORTA DE VIDRO TEMPERADO, UMA FOLHA 
COMPOSTA: DOBRADICA SUPERIOR (101) E INFERIOR (103),TRINCO (502), FECHADURA
(520),CONTRA FECHADURA (531),COM CAPUCHINHO</t>
  </si>
  <si>
    <t>CJ</t>
  </si>
  <si>
    <t>00011523 PUXADOR CONCHA DE EMBUTIR, EM LATAO CROMADO, PARA PORTA / JANELA DE CORRER, LISO, SEM FURO PARA CHAVE, COM FUROS PARA FIXAR PARAFUSOS, *30 X 90* MM (LARGURA X ALTURA)</t>
  </si>
  <si>
    <t>RETIRADA DE PORTA DE  VIDRO TEMPERADO COM PARTES FIXAS</t>
  </si>
  <si>
    <t xml:space="preserve">88325 VIDRACEIRO COM ENCARGOS COMPLEMENTARES H </t>
  </si>
  <si>
    <t xml:space="preserve">88252 AUXILIAR DE SERVIÇOS GERAIS COM ENCARGOS COMPLEMENTARES H </t>
  </si>
  <si>
    <t>PORTA DE VIDRO TEMPERADO (0,90X2,10) UMA FOLHA MOVEL COM BANDEIRAS 0,50M ESPESURA 10MM DUAS LATERAIS FIXAS, COM FERRAGEM, DOBRADIÇAS, TRINCO, FECHADURA, PUXADOR, MOLA, VÃO 1,80X2,60M.</t>
  </si>
  <si>
    <t>00003104 JOGO DE FERRAGENS CROMADAS P/ PORTA DE VIDRO TEMPERADO, UMA FOLHA COMPOSTA: DOBRADICA SUPERIOR (101) E INFERIOR (103),TRINCO (502), FECHADURA (520),CONTRA FECHADURA (531),COM CAPUCHINHO</t>
  </si>
  <si>
    <t>00010507 VIDRO TEMPERADO INCOLOR E = 10 MM, SEM COLOCACAO</t>
  </si>
  <si>
    <t>00011499 MOLA HIDRAULICA DE PISO P/ VIDRO TEMPERADO 10MM</t>
  </si>
  <si>
    <t xml:space="preserve">88325 VIDRACEIRO COM ENCARGOS COMPLEMENTARES </t>
  </si>
  <si>
    <t>PORTA DE VIDRO TEMPERADO 1,50X2,10 UMA FOLHA CORRER, ESPESURA 10MM, COM FERRAGEM, DOBRADIÇAS, TRINCO, FECHADURA, PUXADOR, MOLA, VÃO 1,50X2,10M.</t>
  </si>
  <si>
    <t>00034360 PERFIL DE ALUMINIO ANODIZADO</t>
  </si>
  <si>
    <t xml:space="preserve">00010498 MASSA PARA VIDRO KG </t>
  </si>
  <si>
    <t>PORTA DE ALUMINIO DE ABRIR TIPO VENEZIANA, DE 2 FOLHAS, DOBRADIÇAS TRINCO, FECHADURA, PUXADOR, ALIZAR,VISTA</t>
  </si>
  <si>
    <t>00004917 PORTA DE ABRIR EM ALUMINIO TIPO VENEZIANA, ACABAMENTO ANODIZADO NATURAL, SEM GUARNICAO/ALIZAR/VISTA</t>
  </si>
  <si>
    <t xml:space="preserve">88309 PEDREIRO COM ENCARGOS COMPLEMENTARES </t>
  </si>
  <si>
    <t xml:space="preserve">88316 SERVENTE COM ENCARGOS COMPLEMENTARES </t>
  </si>
  <si>
    <t>88626 ARGAMASSA TRAÇO 1:0,5:4,5 (CIMENTO, CAL E AREIA MÉDIA), PREPARO MECÂNICO COM BETONEIRA 400 L.</t>
  </si>
  <si>
    <t>00036888 GUARNICAO/MOLDURA DE ACABAMENTO PARA ESQUADRIA DE ALUMINIO ANODIZADO NATURAL, PARA 1 FACE (COLETADO CAIXA)</t>
  </si>
  <si>
    <t>00002418 DOBRADICA EM ACO/FERRO, 3" X 2 1/2", E= 1,2 A 1,8 MM, SEM ANEL, CROMADO OU ZINCADO, TAMPA BOLA, COM PARAFUSOS</t>
  </si>
  <si>
    <t>00003119 FECHO / TRINCO / FERROLHO FIO REDONDO, DE SOBREPOR, 2", EM ACO GALVANIZADO / ZINCADO</t>
  </si>
  <si>
    <t>ESTRUTURA METALICA EM AÇO PERFIL U ENRIJECIDO DE AÇO DOBRADO PILARES EM TRELIÇA</t>
  </si>
  <si>
    <t>00040536 PERFIL "U" ENRIJECIDO DE ACO GALVANIZADO, DOBRADO, 150 X 60 X 20 MM, E = 3,00 MM (4,40KG/M²)</t>
  </si>
  <si>
    <t>00011026 CHAPA DE ACO GALVANIZADA BITOLA GSG 14, E = 1,95 MM (15,60 KG/M2)</t>
  </si>
  <si>
    <t>00021008 TUBO ACO GALVANIZADO COM COSTURA, CLASSE LEVE, DN 15 MM ( 1/2"), E = 2,25 MM, *1,2*KG/M (NBR 5580)</t>
  </si>
  <si>
    <t>COMP.011</t>
  </si>
  <si>
    <t>ESCADA EM CHAPA METALICA ESTRUTURA EM TUBO AÇO GALVANIZADO 11/2" COM DEGRAUS EM PISO CHAPA AÇO XADREZ E=1/4"</t>
  </si>
  <si>
    <t xml:space="preserve">00001337 CHAPA DE ACO XADREZ PARA PISOS, E = 1/4 " (6,30 MM) 54,53 KG/M2 </t>
  </si>
  <si>
    <t>00007701 TUBO ACO GALVANIZADO COM COSTURA, CLASSE MEDIA, DN 2.1/2", E = *3,65* MM, PESO *6,51* KG/M (NBR 5580)</t>
  </si>
  <si>
    <t>88631 ARGAMASSA TRAÇO 1:4 (CIMENTO E AREIA MÉDIA), PREPARO MANUAL.</t>
  </si>
  <si>
    <t>COMP.012</t>
  </si>
  <si>
    <t>EXECUCAO DE DRENO COM TUBOS DE PVC CORRUGADO FLEXIVEL PERFURADO - DN 150MM</t>
  </si>
  <si>
    <t>00004722 PEDRA BRITADA N. 3 (38 A 50 MM) POSTO PEDREIRA/FORNECEDOR, SEM FRETE</t>
  </si>
  <si>
    <t xml:space="preserve">C </t>
  </si>
  <si>
    <t xml:space="preserve">5811 CAMINHÃO BASCULANTE 6 M3, PESO BRUTO TOTAL 16.000 KG, CARGA ÚTIL MÁXIMA 13.071 KG, DISTÂNCIA ENTRE EIXOS 4,80 M, POTÊNCIA 230 CV INCLUSIVE CAÇAMBA METÁLICA - CHP DIURNO. </t>
  </si>
  <si>
    <t>00038053 TUBO DRENO, CORRUGADO, ESPIRALADO, FLEXIVEL, PERFURADO, EM POLIETILENO DE ALTA DENSIDADE (PEAD), DN *160* MM, (6") PARA DRENAGEM - EM BARRA</t>
  </si>
  <si>
    <t>88267 ENCANADOR OU BOMBEIRO HIDRÁULICO COM ENCARGOS COMPLEMENTARES</t>
  </si>
  <si>
    <t>91277 PLACA VIBRATÓRIA REVERSÍVEL COM MOTOR 4 TEMPOS A GASOLINA, FORÇA CENTRÍFUGA DE 25 KN (2500 KGF), POTÊNCIA 5,5 CV - CHP DIURNO.</t>
  </si>
  <si>
    <t>CHP</t>
  </si>
  <si>
    <t>COMP.013</t>
  </si>
  <si>
    <t>EXECUCAO DE COLCHÃO DE AREIA COM ADENSAMENTO HIDRAULICO PARA QUADRA DE AREIA</t>
  </si>
  <si>
    <t>00000366 AREIA FINA - POSTO JAZIDA/FORNECEDOR (RETIRADO NA JAZIDA, SEM TRANSPORTE)</t>
  </si>
  <si>
    <t>5680 RETROESCAVADEIRA SOBRE RODAS COM CARREGADEIRA, TRAÇÃO 4X2, POTÊNCIA LÍQ. 79 HP, CAÇAMBA CARREG. CAP. MÍN. 1 M3, CAÇAMBA RETRO CAP. 0,20 M3, PESO OPERACIONAL MÍN. 6.570 KG, PROFUNDIDADE ESCAVAÇÃO MÁX. 4,37 M - CHP DIURNO.</t>
  </si>
  <si>
    <t>6259 CAMINHÃO PIPA 6.000 L, PESO BRUTO TOTAL 13.000 KG, DISTÂNCIA ENTRE EIXOS 4,80 M, POTÊNCIA 189 CV INCLUSIVE TANQUE DE AÇO PARA TRANSPORTE DE ÁGUA, CAPACIDADE 6 M3 - CHP DIURNO.</t>
  </si>
  <si>
    <t>333</t>
  </si>
  <si>
    <t>ARAME GALVANIZADO 14 BWG, D = 2,11 MM (0,026 KG/M)</t>
  </si>
  <si>
    <t>0,0700000</t>
  </si>
  <si>
    <t>335</t>
  </si>
  <si>
    <t>ARAME GALVANIZADO 10 BWG, 3,40 MM (0,0713 KG/M)</t>
  </si>
  <si>
    <t>0,1500000</t>
  </si>
  <si>
    <t>00010937 TELA DE ARAME GALV REVESTIDO EM PVC, QUADRANGULAR / LOSANGULAR, FIO 2,11 MM (14 BWG), BITOLA FINAL = *2,8* MM, MALHA *8 X 8* CM, H = 2 M</t>
  </si>
  <si>
    <t>1,0500000</t>
  </si>
  <si>
    <t>TUBO ACO GALVANIZADO COM COSTURA, CLASSE MEDIA, DN 2", E = *3,65* MM, PESO *5,10* KG/M (NBR 5580)</t>
  </si>
  <si>
    <t>1,6800000</t>
  </si>
  <si>
    <t>SERRALHEIRO COM ENCARGOS COMPLEMENTARES</t>
  </si>
  <si>
    <t>0,5000000</t>
  </si>
  <si>
    <t>1,0000000</t>
  </si>
  <si>
    <t>7697 - TUBO ACO GALVANIZADO COM COSTURA, CLASSE MEDIA, DN 1.1/2", E = *3,25* MM, PESO *3,61* KG/M (NBR 5580)</t>
  </si>
  <si>
    <t>1,4318000</t>
  </si>
  <si>
    <t>10997 - ELETRODO REVESTIDO AWS - E7018, DIAMETRO IGUAL A 4,00 MM</t>
  </si>
  <si>
    <t>3,3700000</t>
  </si>
  <si>
    <t>21010 - TUBO ACO GALVANIZADO COM COSTURA, CLASSE LEVE, DN 25 MM ( 1"),  E = 2,65 MM,  *2,11* KG/M (NBR 5580)</t>
  </si>
  <si>
    <t>6,7407000</t>
  </si>
  <si>
    <t>83765 - GRUPO DE SOLDAGEM COM GERADOR A DIESEL 60 CV PARA SOLDA ELÉTRICA, SOBRE 04 RODAS, COM MOTOR 4 CILINDROS 600 A - CHP DIURNO. AF_02/2016</t>
  </si>
  <si>
    <t>3,8200000</t>
  </si>
  <si>
    <t>83766 - GRUPO DE SOLDAGEM COM GERADOR A DIESEL 60 CV PARA SOLDA ELÉTRICA, SOBRE 04 RODAS, COM MOTOR 4 CILINDROS 600 A - CHI DIURNO. AF_02/2016</t>
  </si>
  <si>
    <t>CHI</t>
  </si>
  <si>
    <t>0,6700000</t>
  </si>
  <si>
    <t>88315 - SERRALHEIRO COM ENCARGOS COMPLEMENTARES</t>
  </si>
  <si>
    <t>7,0000000</t>
  </si>
  <si>
    <t>88316 - SERVENTE COM ENCARGOS COMPLEMENTARES</t>
  </si>
  <si>
    <t>11,5000000</t>
  </si>
  <si>
    <t>88317 - SOLDADOR COM ENCARGOS COMPLEMENTARES</t>
  </si>
  <si>
    <t>4,5000000</t>
  </si>
  <si>
    <t>88275 MECÃNICO DE EQUIPAMENTOS PESADOS COM ENCARGOS COMPLEMENTARES</t>
  </si>
  <si>
    <t>88250 AUXILIAR DE MECÂNICO COM ENCARGOS COMPLEMENTARES</t>
  </si>
  <si>
    <t>Tubo de Cobre 19,05mm (3/4")</t>
  </si>
  <si>
    <t>ORSE</t>
  </si>
  <si>
    <t>Gás Refrigerante R22</t>
  </si>
  <si>
    <t>kg</t>
  </si>
  <si>
    <t>Isolamento Térmico 3/4" - Elastomérico</t>
  </si>
  <si>
    <t>L</t>
  </si>
  <si>
    <t>Fita adesiva aluminizada</t>
  </si>
  <si>
    <t>00037590 SUPORTE MAO-FRANCESA EM ACO, ABAS IGUAIS 30 CM, CAPACIDADE MINIMA 60 KG</t>
  </si>
  <si>
    <t>00011964 PARAFUSO DE ACO TIPO CHUMBADOR PARABOLT, DIAMETRO 3/8", COMPRIMENTO 75 MM UN CR 1,02</t>
  </si>
  <si>
    <t>88265 ELETRICISTA INDUSTRIAL COM ENCARGOS COMPLEMENTARES</t>
  </si>
  <si>
    <t>88247 AUXILIAR DE ELETRICISTA COM ENCARGOS COMPLEMENTARES</t>
  </si>
  <si>
    <t>SELANTE ELASTICO MONOCOMPONENTE A BASE DE POLIURETANO PARA JUNTAS DIVERSAS 310ML</t>
  </si>
  <si>
    <t>310ML</t>
  </si>
  <si>
    <t>PREGO DE ACO POLIDO COM CABECA 18 X 27 (2 1/2 X 10)</t>
  </si>
  <si>
    <t>REBITE DE ALUMINIO VAZADO DE REPUXO, 3,2 X 8 MM (1KG = 1025 UNIDADES)</t>
  </si>
  <si>
    <t>SOLDA EM BARRA DE ESTANHO-CHUMBO 50/50</t>
  </si>
  <si>
    <t>RUFO INTERNO DE CHAPA DE ACO GALVANIZADA NUM 26, CORTE 50 CM</t>
  </si>
  <si>
    <t xml:space="preserve">SERVENTE COM ENCARGOS COMPLEMENTARES </t>
  </si>
  <si>
    <t>TELHADISTA COM ENCARGOS COMPLEMENTARES</t>
  </si>
  <si>
    <t xml:space="preserve">GUINCHO ELÉTRICO DE COLUNA, CAPACIDADE 400 KG, COM MOTO FREIO, MOTOR TRIFÁSICO DE 1,25 CV - CHP DIURNO. </t>
  </si>
  <si>
    <t>GUINCHO ELÉTRICO DE COLUNA, CAPACIDADE 400 KG, COM MOTO FREIO, MOTOR TRIFÁSICO DE 1,25 CV - CHI DIURNO.</t>
  </si>
  <si>
    <t>PARAFUSO NIQUELADO COM ACABAMENTO CROMADO PARA FIXAR PECA SANITARIA, INCLUI PORCA CEGA, ARRUELA E BUCHA DE NYLON TAMANHO S-10</t>
  </si>
  <si>
    <t>VEDACAO PVC, 100 MM, PARA SAIDA VASO SANITARIO</t>
  </si>
  <si>
    <t>REJUNTE EPOXI BRANCO</t>
  </si>
  <si>
    <t>ENCANADOR OU BOMBEIRO HIDRÁULICO COM ENCARGOS COMPLEMENTARES</t>
  </si>
  <si>
    <t>PARAFUSO NIQUELADO 3 1/2" COM ACABAMENTO CROMADO PARA FIXAR PECA SANITARIA, INCLUI PORCA CEGA, ARRUELA E BUCHA DE NYLON TAMANHO S-8</t>
  </si>
  <si>
    <t>BUCHA DE NYLON SEM ABA S10, COM PARAFUSO DE 6,10 X 65 MM EM ACO ZINCADO COM ROSCA SOBERBA, CABECA CHATA E FENDA PHILLIPS</t>
  </si>
  <si>
    <t>SUPORTE MAO-FRANCESA EM ACO, ABAS IGUAIS 40 CM, CAPACIDADE MINIMA 70 KG, BRANCO</t>
  </si>
  <si>
    <t>DISCO DE CORTE DIAMANTADO SEGMENTADO DIAMETRO DE 180 MM PARA ESMERILHADEIRA 7 "</t>
  </si>
  <si>
    <t>MARMORISTA/GRANITEIRO COM ENCARGOS COMPLEMENTARES H</t>
  </si>
  <si>
    <t>122</t>
  </si>
  <si>
    <t>ADESIVO PLASTICO PARA PVC, FRASCO COM 850 GR</t>
  </si>
  <si>
    <t>0,0180000</t>
  </si>
  <si>
    <t>TERMINAL DE VENTILACAO, 50 MM, SERIE NORMAL, ESGOTO PREDIAL UN CR 3,98</t>
  </si>
  <si>
    <t>20083</t>
  </si>
  <si>
    <t>SOLUCAO LIMPADORA PARA PVC, FRASCO COM 1000 CM3</t>
  </si>
  <si>
    <t>0,0220000</t>
  </si>
  <si>
    <t>38383</t>
  </si>
  <si>
    <t>LIXA D'AGUA EM FOLHA, GRAO 100</t>
  </si>
  <si>
    <t>0,0240000</t>
  </si>
  <si>
    <t>88248</t>
  </si>
  <si>
    <t>AUXILIAR DE ENCANADOR OU BOMBEIRO HIDRÁULICO COM ENCARGOS COMPLEMENTARES</t>
  </si>
  <si>
    <t>0,0720000</t>
  </si>
  <si>
    <t>88267</t>
  </si>
  <si>
    <t>3146</t>
  </si>
  <si>
    <t>00003146 FITA VEDA ROSCA EM ROLOS DE 18 MM X 10 M (L X C)</t>
  </si>
  <si>
    <t>0,0304000</t>
  </si>
  <si>
    <t>00001370 DUCHA HIGIENICA PLASTICA COM REGISTRO METALICO 1/2 " UN CR 72,31</t>
  </si>
  <si>
    <t>FITA VEDA ROSCA EM ROLOS DE 18 MM X 10 M (L X C)</t>
  </si>
  <si>
    <t xml:space="preserve">PLUG PVC, ROSCAVEL 3/4", PARA AGUA FRIA PREDIAL </t>
  </si>
  <si>
    <t>BARRA DE APOIO RETA, EM ALUMINIO, COMPRIMENTO 70CM, DIAMETRO MINIMO 3 CM</t>
  </si>
  <si>
    <t>BUCHA DE NYLON SEM ABA S8, COM PARAFUSO DE 4,80 X 50 MM EM ACO ZINCADO COM ROSCA SOBERBA, CABECA CHATA E FENDA PHILLIPS</t>
  </si>
  <si>
    <t>PEDREIRO COM ENCARGOS COMPLEMENTARES</t>
  </si>
  <si>
    <t>BARRA DE APOIO RETA, EM ALUMINIO, COMPRIMENTO 80CM, DIAMETRO MINIMO 3 CM</t>
  </si>
  <si>
    <t>00036218 BARRA DE APOIO RETA, EM ALUMINIO, COMPRIMENTO 60CM, DIAMETRO MINIMO 3 CM</t>
  </si>
  <si>
    <t>ASSENTO SANITARIO DE PLASTICO, TIPO CONVENCIONAL</t>
  </si>
  <si>
    <t>00011692 BANCADA/ BANCA EM MARMORE, POLIDO, BRANCO COMUM, E= *3* CM</t>
  </si>
  <si>
    <t>AREIA MEDIA - POSTO JAZIDA/FORNECEDOR (RETIRADO NA JAZIDA, SEM TRANSPORTE)</t>
  </si>
  <si>
    <t>CIMENTO PORTLAND COMPOSTO CP II-32</t>
  </si>
  <si>
    <t>QUADRO DE DISTRIBUICAO COM BARRAMENTO TRIFASICO, DE SOBREPOR, EM CHAPA DE ACO GALVANIZADO, PARA 18 DISJUNTORES DIN, 100 A</t>
  </si>
  <si>
    <t>AUXILIAR DE ELETRICISTA COM ENCARGOS COMPLEMENTARES</t>
  </si>
  <si>
    <t>ELETRICISTA COM ENCARGOS COMPLEMENTARES</t>
  </si>
  <si>
    <t>QUADRO DE DISTRIBUICAO COM BARRAMENTO TRIFASICO, DE SOBREPOR, EM CHAPA DE
ACO GALVANIZADO, PARA 18 DISJUNTORES DIN, 100 A</t>
  </si>
  <si>
    <t>QUADRO DE DISTRIBUICAO COM BARRAMENTO TRIFASICO, SOBREPOR, EM CHAPA DE ACO GALVANIZADO, PARA 24 DISJUNTORES DIN, 100 A</t>
  </si>
  <si>
    <t>QUADRO DE DISTRIBUICAO COM BARRAMENTO TRIFASICO, SOBREPOR, EM CHAPA DE ACO GALVANIZADO, PARA 36 DISJUNTORES DIN, 100 A</t>
  </si>
  <si>
    <t xml:space="preserve"> DISJUNTOR BIPOLAR TIPO DIN, CORRENTE NOMINAL DE 63A - FORNECIMENTO E INSTALAÇÃO.</t>
  </si>
  <si>
    <t>TERMINAL A COMPRESSAO EM COBRE ESTANHADO PARA CABO 16 MM2, 1 FURO E 1
COMPRESSAO, PARA PARAFUSO DE FIXACAO M6</t>
  </si>
  <si>
    <t>DISJUNTOR TIPO DIN/IEC, BIPOLAR 63 A</t>
  </si>
  <si>
    <t xml:space="preserve"> DISJUNTOR BIPOLAR TIPO DIN, CORRENTE NOMINAL DE 70A - FORNECIMENTO E INSTALAÇÃO.</t>
  </si>
  <si>
    <t>Disjuntor bipolar 70 A, padrão DIN (linha branca), curva de disparo C, corrente de interrupção 5KA, ref.: Siemens 5SX1 ou similar</t>
  </si>
  <si>
    <t>Disjuntor bipolar 80 A, padrão DIN (linha branca), curva de disparo C, corrente de interrupção 5KA, ref.: Siemens 5SX1 ou similar</t>
  </si>
  <si>
    <t xml:space="preserve"> DISJUNTOR TRIPOLAR TIPO DIN, CORRENTE NOMINAL DE 63A - FORNECIMENTO E INSTALAÇÃO.</t>
  </si>
  <si>
    <t>DISJUNTOR TIPO DIN/IEC, TRIPOLAR 63 A</t>
  </si>
  <si>
    <t xml:space="preserve"> DISJUNTOR TRIPOLAR TIPO DIN, CORRENTE NOMINAL DE 150A - FORNECIMENTO E INSTALAÇÃO.</t>
  </si>
  <si>
    <t>TERMINAL A COMPRESSAO EM COBRE ESTANHADO PARA CABO 35 MM2, 1 FURO E 1
COMPRESSAO, PARA PARAFUSO DE FIXACAO M8</t>
  </si>
  <si>
    <t>DISJUNTOR TERMOMAGNETICO TRIPOLAR 150 A / 600 V, TIPO FXD / ICC - 35 KA</t>
  </si>
  <si>
    <t xml:space="preserve"> DISJUNTOR TRIPOLAR TIPO DIN, CORRENTE NOMINAL DE 125A - FORNECIMENTO E INSTALAÇÃO.</t>
  </si>
  <si>
    <t>TERMINAL A COMPRESSAO EM COBRE ESTANHADO PARA CABO 25 MM2, 1 FURO E 1
COMPRESSAO, PARA PARAFUSO DE FIXACAO M6</t>
  </si>
  <si>
    <t>DISJUNTOR TERMOMAGNETICO TRIPOLAR 125A</t>
  </si>
  <si>
    <t xml:space="preserve"> DISJUNTOR TRIPOLAR TIPO DIN, CORRENTE NOMINAL DE 200A - FORNECIMENTO E INSTALAÇÃO.</t>
  </si>
  <si>
    <t>TERMINAL A COMPRESSAO EM COBRE ESTANHADO PARA CABO 50 MM2, 1 FURO E 1
COMPRESSAO, PARA PARAFUSO DE FIXACAO M8</t>
  </si>
  <si>
    <t>DISJUNTOR TERMOMAGNETICO TRIPOLAR 200 A / 600 V, TIPO FXD / ICC - 35 KA</t>
  </si>
  <si>
    <t xml:space="preserve"> DISPOSITIVO DR, 4 POLOS, SENSIBILIDADE DE 30 MA, CORRENTE DE 25 A, TIPO AC - FORNECIMENTO E INSTALAÇÃO.</t>
  </si>
  <si>
    <t>DISPOSITIVO DR, 4 POLOS, SENSIBILIDADE DE 30 MA, CORRENTE DE 25 A, TIPO AC</t>
  </si>
  <si>
    <t>DISPOSITIVO DR, 4 POLOS, SENSIBILIDADE DE 30 MA, CORRENTE DE 63 A, TIPO AC</t>
  </si>
  <si>
    <t xml:space="preserve"> DISPOSITIVO DR, 4 POLOS, SENSIBILIDADE DE 30 MA, CORRENTE DE 100 A, TIPO AC - FORNECIMENTO E INSTALAÇÃO.</t>
  </si>
  <si>
    <t>DISPOSITIVO DR, 4 POLOS, SENSIBILIDADE DE 30 MA, CORRENTE DE 100 A, TIPO AC</t>
  </si>
  <si>
    <t>DISPOSITIVO DPS CLASSE II, 1 POLO, TENSAO MAXIMA DE 275 V, CORRENTE MAXIMA DE *20* KA (TIPO AC)</t>
  </si>
  <si>
    <t>ELETRODUTO EM ACO GALVANIZADO ELETROLITICO, SEMI-PESADO, DIAMETRO 1 1/2", PAREDE DE 1,20 MM- FORNECIMENTO E INSTALAÇÃO.</t>
  </si>
  <si>
    <t>FIXAÇÃO DE TUBOS VERTICAIS DE PPR DIÂMETROS MAIORES QUE 40 MM E MENORES OU IGUAIS A 75 MM COM ABRAÇADEIRA METÁLICA RÍGIDA TIPO D 1 1/2", FIXADA EM PERFILADO EM ALVENARIA.</t>
  </si>
  <si>
    <t>ELETRODUTO EM ACO GALVANIZADO ELETROLITICO, SEMI-PESADO, DIAMETRO 1 1/2",
PAREDE DE 1,20 MM</t>
  </si>
  <si>
    <t>ELETRODUTO EM FERRO GALVANIZADO PESADO SEM COSTURA 2 1/2"</t>
  </si>
  <si>
    <t>COMP.047</t>
  </si>
  <si>
    <t>CONDULETE DE ALUMINIO TIPO E, PARA ELETRODUTO ROSCAVEL DE 1,1/2", COM TAMPA CEGA - FORNECIMENTO E INSTALAÇÃO.</t>
  </si>
  <si>
    <t>BUCHA DE NYLON SEM ABA S6, COM PARAFUSO DE 4,20 X 40 MM EM ACO ZINCADO COM ROSCA SOBERBA, CABECA CHATA E FENDA PHILLIPS</t>
  </si>
  <si>
    <t>CONDULETE DE ALUMINIO TIPO E, PARA ELETRODUTO ROSCAVEL DE 1,1/2", COM TAMPA CEGA</t>
  </si>
  <si>
    <t>CURVA 90 GRAUS, PARA ELETRODUTO, EM ACO GALVANIZADO ELETROLITICO, DIAMETRO DE 20 MM (3/4")</t>
  </si>
  <si>
    <t>CURVA 90 GRAUS, PARA ELETRODUTO, EM ACO GALVANIZADO ELETROLITICO, DIAMETRO DE 25 MM (1")</t>
  </si>
  <si>
    <t>CURVA 90 GRAUS, PARA ELETRODUTO, EM ACO GALVANIZADO ELETROLITICO, DIAMETRO DE 32 MM (1 1/4")</t>
  </si>
  <si>
    <t>COTAÇÃO</t>
  </si>
  <si>
    <t>COTAÇÃO1</t>
  </si>
  <si>
    <t>COLUNA PLUS STANDAR 3M C/ ACESSÓRIOS</t>
  </si>
  <si>
    <t>CAIXA DE PASSAGEM METALICA DE SOBREPOR COM TAMPA PARAFUSADA, DIMENSOES 20 X 20 X 10 CM</t>
  </si>
  <si>
    <t>PARAFUSO ZINCADO, SEXTAVADO, COM ROSCA INTEIRA, DIAMETRO 3/8", COMPRIMENTO 2"</t>
  </si>
  <si>
    <t>COTAÇÃO2</t>
  </si>
  <si>
    <t>REFLETOR LED 100W</t>
  </si>
  <si>
    <t>LUMINARIA DE SOBREPOR EM CHAPA DE ACO PARA 2 LAMPADAS FLUORESCENTES DE *36* W, PERFIL COMERCIAL (NAO INCLUI REATOR E LAMPADAS)</t>
  </si>
  <si>
    <t>LAMPADA LED TUBULAR BIVOLT 18/20 W, BASE G13</t>
  </si>
  <si>
    <t>LAMPADA LED 10 W BIVOLT BRANCA, FORMATO TRADICIONAL (BASE E27)</t>
  </si>
  <si>
    <t>LUMINARIA DE TETO PLAFON/PLAFONIER EM PLASTICO COM BASE E27, POTENCIA MAXIMA 60 W (NAO INCLUI LAMPADA)</t>
  </si>
  <si>
    <t>EMENDA INTERNA 200 X 100 MM COM BASE LISA PERFURADA PARA ELETROCALHA METÁLICA (REF. MOPA OU SIMILAR)</t>
  </si>
  <si>
    <t>CRUZETA 100 X 100 MM PARA ELETROCALHA PERFURADA METÁLICA (REF.: MOPA OU SIMILAR)</t>
  </si>
  <si>
    <t>Curva de inversão 200 x 100 mm para eletrocalha metálica  - FORNECIMENTO E INSTALAÇÃO.</t>
  </si>
  <si>
    <t>04018</t>
  </si>
  <si>
    <t xml:space="preserve">Curva de inversão 200 x 100 mm para eletrocalha metálica  </t>
  </si>
  <si>
    <t>Curva horizontal 200 x 100 mm para eletrocalha metálica, com ângulo 90° - FORNECIMENTO E INSTALAÇÃO.</t>
  </si>
  <si>
    <t>03999</t>
  </si>
  <si>
    <t>Curva horizontal 200 x 100 mm para eletrocalha metálica, com ângulo 90°</t>
  </si>
  <si>
    <t>Desvio à direita 200 x 100mm para eletrocalha metálica - FORNECIMENTO E INSTALAÇÃO.</t>
  </si>
  <si>
    <t>04042</t>
  </si>
  <si>
    <t>Desvio à direita 200 x 100mm para eletrocalha metálica</t>
  </si>
  <si>
    <t>Desvio à esquerda 200 x 100mm para eletrocalha metálica - FORNECIMENTO E INSTALAÇÃO.</t>
  </si>
  <si>
    <t>04051</t>
  </si>
  <si>
    <t>Desvio à esquerda 200 x 100mm para eletrocalha metálica</t>
  </si>
  <si>
    <t>Eletrocalha metálica perfurada 200 x 100 x 3000 mm - FORNECIMENTO E INSTALAÇÃO.</t>
  </si>
  <si>
    <t>00861</t>
  </si>
  <si>
    <t xml:space="preserve">Eletrocalha metálica perfurada 200 x 100 x 3000 mm </t>
  </si>
  <si>
    <t>Emenda interna 200 x 100 mm com base lisa perfurada para eletrocalha metálica - FORNECIMENTO E INSTALAÇÃO.</t>
  </si>
  <si>
    <t>04037</t>
  </si>
  <si>
    <t>Emenda interna 200 x 100 mm com base lisa perfurada para eletrocalha metálica</t>
  </si>
  <si>
    <t>Suporte vertical 200 x 100 mm para fixação de eletrocalha metálica  - FORNECIMENTO E INSTALAÇÃO.</t>
  </si>
  <si>
    <t>03640</t>
  </si>
  <si>
    <t xml:space="preserve">Suporte vertical 200 x 100 mm para fixação de eletrocalha metálica </t>
  </si>
  <si>
    <t>Tampa de encaixe 200 mm para eletrocalha metálica  - FORNECIMENTO E INSTALAÇÃO.</t>
  </si>
  <si>
    <t>03991</t>
  </si>
  <si>
    <t>Tampa de encaixe 200 mm para eletrocalha metálica</t>
  </si>
  <si>
    <t>m</t>
  </si>
  <si>
    <t>Tê horizontal 200 x 100mm para eletrocalha metálica   - FORNECIMENTO E INSTALAÇÃO.</t>
  </si>
  <si>
    <t>12158</t>
  </si>
  <si>
    <t xml:space="preserve">Tê horizontal 200 x 100mm para eletrocalha metálica </t>
  </si>
  <si>
    <t>Tê vertical 200 x 100 mm para eletrocalha metálica - FORNECIMENTO E INSTALAÇÃO.</t>
  </si>
  <si>
    <t>12159</t>
  </si>
  <si>
    <t>Tê vertical 200 x 100 mm para eletrocalha metálica</t>
  </si>
  <si>
    <t>Saída horizontal para eletroduto 2" - FORNECIMENTO E INSTALAÇÃO.</t>
  </si>
  <si>
    <t>02002</t>
  </si>
  <si>
    <t>Saída horizontal para eletroduto 2"</t>
  </si>
  <si>
    <t>Saída horizontal para eletroduto 3/4"- FORNECIMENTO E INSTALAÇÃO.</t>
  </si>
  <si>
    <t>02003</t>
  </si>
  <si>
    <t>Saída horizontal para eletroduto 3/4"</t>
  </si>
  <si>
    <t>Parafuso cabeça lentilha auto-travante 1/4" x 1/2" - FORNECIMENTO E INSTALACAO.</t>
  </si>
  <si>
    <t>ARRUELA EM ACO GALVANIZADO, DIAMETRO EXTERNO = 35MM, ESPESSURA = 3MM,
DIAMETRO DO FURO= 18MM</t>
  </si>
  <si>
    <t>06554</t>
  </si>
  <si>
    <t>Parafuso cabeça lentilha auto-travante 1/4" x 1/2"</t>
  </si>
  <si>
    <t>PORCA ZINCADA, SEXTAVADA, DIAMETRO 1/4"</t>
  </si>
  <si>
    <t>CHUMBADOR, DIAMETRO 1/4" COM PARAFUSO 1/4" X 40 MM</t>
  </si>
  <si>
    <t>LUMINARIA LED REFLETOR RETANGULAR BIVOLT, LUZ BRANCA, 30 W</t>
  </si>
  <si>
    <t>ELETRODUTODUTO PEAD FLEXIVEL PAREDE SIMPLES, CORRUGACAO HELICOIDAL, COR
PRETA, SEM ROSCA, DE 1 1/4", PARA CABEAMENTO SUBTERRANEO (NBR 15715)</t>
  </si>
  <si>
    <t>GUINDAUTO HIDRÁULICO, CAPACIDADE MÁXIMA DE CARGA 6500 KG, MOMENTO MÁXIMO DE CARGA 5,8 TM, ALCANCE MÁXIMO HORIZONTAL 7,60 M, INCLUSIVE CAMINHÃO TOCO PBT 9.700 KG, POTÊNCIA DE 160 CV - CHP DIURNO. AF_08/2015</t>
  </si>
  <si>
    <t>LANÇAMENTO COM USO DE BALDES, ADENSAMENTO E ACABAMENTO DE CONCRETO EM ESTRUTURAS. AF_12/2015</t>
  </si>
  <si>
    <t>94969</t>
  </si>
  <si>
    <t>CONCRETO FCK = 15MPA, TRAÇO 1:3,4:3,5 (CIMENTO/ AREIA MÉDIA/ BRITA 1)  - PREPARO MECÂNICO COM BETONEIRA 600 L. AF_07/2016</t>
  </si>
  <si>
    <t>02938</t>
  </si>
  <si>
    <t>POSTE DE CONCRETO DUPLO T (DT), 10/ 150</t>
  </si>
  <si>
    <t>COTAÇÃO3</t>
  </si>
  <si>
    <t>REFLETOR LED 200W</t>
  </si>
  <si>
    <t>CRUZETA DE CONCRETO LEVE, COMP. 2000 MM SECAO, 90 X 90 MM</t>
  </si>
  <si>
    <t>PARAFUSO M16 EM ACO GALVANIZADO, COMPRIMENTO = 125 MM, DIAMETRO = 16 MM,
ROSCA MAQUINA, CABECA QUADRADA</t>
  </si>
  <si>
    <t>ELETRODUTODUTO PEAD FLEXIVEL PAREDE SIMPLES, CORRUGACAO HELICOIDAL, COR
PRETA, SEM ROSCA, DE 1 1/2", PARA CABEAMENTO SUBTERRANEO (NBR 15715)</t>
  </si>
  <si>
    <t>0,6667000</t>
  </si>
  <si>
    <t>0,2500000</t>
  </si>
  <si>
    <t>10527</t>
  </si>
  <si>
    <t>LOCACAO DE ANDAIME METALICO TUBULAR DE ENCAIXE, TIPO DE TORRE, COM LARGURA DE 1 ATE 1,5 M E ALTURA DE *1,00* M</t>
  </si>
  <si>
    <t>M/MES</t>
  </si>
  <si>
    <t>CORTE/PODA DE ARVORES, COM LIMPEZA DE GALHOS SECOS E RETIRADA DE PARASITAS, INCLUINDO REMOCAO DE ENTULHO</t>
  </si>
  <si>
    <t>5824</t>
  </si>
  <si>
    <t>CAMINHÃO TOCO, PBT 16.000 KG, CARGA ÚTIL MÁX. 10.685 KG, DIST. ENTRE EIXOS 4,8 M, POTÊNCIA 189 CV, INCLUSIVE CARROCERIA FIXA ABERTA DE MADEIRA P/ TRANSPORTE GERAL DE CARGA SECA, DIMEN. APROX. 2,5 X 7,00 X 0,50 M - CHP DIURNO</t>
  </si>
  <si>
    <t>0,0310000</t>
  </si>
  <si>
    <t>88441</t>
  </si>
  <si>
    <t>JARDINEIRO COM ENCARGOS COMPLEMENTARES</t>
  </si>
  <si>
    <t>5,0000000</t>
  </si>
  <si>
    <t>10966</t>
  </si>
  <si>
    <t>PERFIL "U" DE ACO LAMINADO, "U" 152 X 15,6</t>
  </si>
  <si>
    <t>10,0000000</t>
  </si>
  <si>
    <t>88278</t>
  </si>
  <si>
    <t>MONTADOR DE ESTRUTURA METÁLICA COM ENCARGOS COMPLEMENTARES</t>
  </si>
  <si>
    <t>0,7000000</t>
  </si>
  <si>
    <t>39</t>
  </si>
  <si>
    <t>ACO CA-60, 5,0 MM, VERGALHAO</t>
  </si>
  <si>
    <t>0,8750000</t>
  </si>
  <si>
    <t>367</t>
  </si>
  <si>
    <t>AREIA GROSSA - POSTO JAZIDA/FORNECEDOR (RETIRADO NA JAZIDA, SEM TRANSPORTE)</t>
  </si>
  <si>
    <t>0,0081900</t>
  </si>
  <si>
    <t>370</t>
  </si>
  <si>
    <t>0,1000000</t>
  </si>
  <si>
    <t>1106</t>
  </si>
  <si>
    <t>CAL HIDRATADA CH-I PARA ARGAMASSAS</t>
  </si>
  <si>
    <t>8,2500000</t>
  </si>
  <si>
    <t>1358</t>
  </si>
  <si>
    <t>CHAPA DE MADEIRA COMPENSADA RESINADA PARA FORMA DE CONCRETO, DE *2,2 X 1,1* M, E = 17 MM</t>
  </si>
  <si>
    <t>1379</t>
  </si>
  <si>
    <t>24,0900000</t>
  </si>
  <si>
    <t>4718</t>
  </si>
  <si>
    <t>PEDRA BRITADA N. 2 (19 A 38 MM) POSTO PEDREIRA/FORNECEDOR, SEM FRETE</t>
  </si>
  <si>
    <t>0,0094900</t>
  </si>
  <si>
    <t>4722</t>
  </si>
  <si>
    <t>PEDRA BRITADA N. 3 (38 A 50 MM) POSTO PEDREIRA/FORNECEDOR, SEM FRETE</t>
  </si>
  <si>
    <t>0,0080000</t>
  </si>
  <si>
    <t>7258</t>
  </si>
  <si>
    <t>TIJOLO CERAMICO MACICO *5 X 10 X 20* CM</t>
  </si>
  <si>
    <t>138,0000000</t>
  </si>
  <si>
    <t>88309</t>
  </si>
  <si>
    <t>3,8000000</t>
  </si>
  <si>
    <t>6,0400000</t>
  </si>
  <si>
    <t>MAPA DE COTAÇÕES</t>
  </si>
  <si>
    <t>COTAÇÃO 1</t>
  </si>
  <si>
    <t>PRODUTO</t>
  </si>
  <si>
    <t>FORNECEDOR</t>
  </si>
  <si>
    <t>CONTATO</t>
  </si>
  <si>
    <t>VALOR</t>
  </si>
  <si>
    <t>SUBMARINO</t>
  </si>
  <si>
    <t>https://www.submarino.com.br/produto/37927803/coluna-para-tomada-access-compact-b-fixa-branco-8-tomadas-42020-01-dutotec?WT.srch=1&amp;acc=d47a04c6f99456bc289220d5d0ff208d&amp;epar=bp_pl_00_go_g35219&amp;gclid=EAIaIQobChMIyYL718u24AIVEYWRCh20Bg4oEAkYCiABEgL0V_D_BwE&amp;i=573ff3b9eec3dfb1f804bee6&amp;o=5b45bae9ebb19ac62c7dda4e&amp;opn=XMLGOOGLE&amp;sellerId=60717899000190</t>
  </si>
  <si>
    <t xml:space="preserve">Coluna Para Tomada Access Compact B Fixa Branco 8 Tomadas </t>
  </si>
  <si>
    <t>AMERICANAS</t>
  </si>
  <si>
    <t>https://www.americanas.com.br/produto/37927803/coluna-para-tomada-access-compact-b-fixa-branco-8-tomadas-42020-01-dutotec?WT.srch=1&amp;acc=e789ea56094489dffd798f86ff51c7a9&amp;epar=bp_pl_00_go_pla_casaeconst_geral_gmv&amp;gclid=EAIaIQobChMIvvDf6si24AIViYiRCh1tEQ3HEAYYASABEgJDzvD_BwE&amp;i=573fe245eec3dfb1f8014218&amp;o=5b33ae8cebb19ac62c76967f&amp;opn=YSMESP&amp;sellerId=60717899000190</t>
  </si>
  <si>
    <t>POLICOM</t>
  </si>
  <si>
    <t xml:space="preserve"> jorge@policom.com.br</t>
  </si>
  <si>
    <t>VALOR MEDIANO</t>
  </si>
  <si>
    <t>COTAÇÃO 2</t>
  </si>
  <si>
    <t>ILUMINIM</t>
  </si>
  <si>
    <t>https://www.iluminim.com.br/refletor-holofote-led-100w-branco-frio</t>
  </si>
  <si>
    <t>https://www.submarino.com.br/produto/29474439/refletor-led-100w-smd-holofote-bivolt-prova-d-agua-branco-frio-kit-2?pfm_carac=refletor%20led%20100w&amp;pfm_index=14&amp;pfm_page=search&amp;pfm_pos=grid&amp;pfm_type=search_page%20&amp;sellerId</t>
  </si>
  <si>
    <t>SHOPTIME</t>
  </si>
  <si>
    <t>https://www.shoptime.com.br/produto/45822564/refletor-led-100w-branco-frio-6000k-maxtel?pfm_carac=refletor%20led%20100w&amp;pfm_index=4&amp;pfm_page=search&amp;pfm_pos=grid&amp;pfm_type=search_page%20</t>
  </si>
  <si>
    <t>COTAÇÃO 3</t>
  </si>
  <si>
    <t>https://www.iluminim.com.br/refletor-micro-led-slim-200w-branco-frio</t>
  </si>
  <si>
    <t>https://www.americanas.com.br/produto/44865850/refletor-led-200w-branco-frio?pfm_carac=refletor%20led%20200w&amp;pfm_index=5&amp;pfm_page=search&amp;pfm_pos=grid&amp;pfm_type=search_page%20&amp;sellerId</t>
  </si>
  <si>
    <t>https://www.submarino.com.br/produto/45349544/refletor-holofote-led-200w-branco-frio?pfm_carac=refletor%20led%20200w&amp;pfm_index=23&amp;pfm_page=search&amp;pfm_pos=grid&amp;pfm_type=search_page%20&amp;sellerId</t>
  </si>
  <si>
    <t>OBRA:</t>
  </si>
  <si>
    <t>REFORMA DO CAMPUS AVANÇADO TANGARÁ DA SERRA</t>
  </si>
  <si>
    <t>LOCAL:</t>
  </si>
  <si>
    <t>Rua 28, 980 N, Vila Horizonte, Tangará da Serra/MT</t>
  </si>
  <si>
    <t>DATA:</t>
  </si>
  <si>
    <t>JANEIRO/2019</t>
  </si>
  <si>
    <t>DESCRIÇÃO</t>
  </si>
  <si>
    <t>VALOR R$</t>
  </si>
  <si>
    <t>SERVIÇO PRELIMINARES</t>
  </si>
  <si>
    <t>DEMOLIÇÃO /REMOÇÃO</t>
  </si>
  <si>
    <t>ESTRUTURA - FUNDAÇÃO VIGAS E PILARES</t>
  </si>
  <si>
    <t>VEDAÇÃO E DIVISÓRTIAS</t>
  </si>
  <si>
    <t>REVESTIMENTO DE PAREDE</t>
  </si>
  <si>
    <t>ESQUADRIAS</t>
  </si>
  <si>
    <t>LIMPEZA</t>
  </si>
  <si>
    <t>T O T A L        R $</t>
  </si>
  <si>
    <t>GOVERNO FEDERAL</t>
  </si>
  <si>
    <t>MINISTÉRIO DA EDUCAÇÃO</t>
  </si>
  <si>
    <t>INSTITUTO FEDERAL DE EDUCAÇÃO, CIÊNCIAS E TECNOLOGIA DE MATO GROSSO</t>
  </si>
  <si>
    <t>Obra:</t>
  </si>
  <si>
    <t>Local:</t>
  </si>
  <si>
    <t>Data:</t>
  </si>
  <si>
    <t>CRONOGRAMA FÍSICO-FINANCEIRO</t>
  </si>
  <si>
    <t>DESCRIÇÃO DOS SERVIÇOS</t>
  </si>
  <si>
    <t>VALOR DO</t>
  </si>
  <si>
    <t>%</t>
  </si>
  <si>
    <t>PERÍODO DE EXECUÇÃO DA OBRA</t>
  </si>
  <si>
    <t>SERVIÇO (R$)</t>
  </si>
  <si>
    <t>DO SERVIÇO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</si>
  <si>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</si>
  <si>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</si>
  <si>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</si>
  <si>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</si>
  <si>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</si>
  <si>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</si>
  <si>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</si>
  <si>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</si>
  <si>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</si>
  <si>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</si>
  <si>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TOTAL  R$</t>
  </si>
  <si>
    <t>VALOR TOTAL ACUMULADO</t>
  </si>
  <si>
    <t>CAMPUS AVANÇADO DE TANGARÁ DA SERRA</t>
  </si>
  <si>
    <t>CALCULO DO BDI NÃO DESONERADO</t>
  </si>
  <si>
    <t>CALCULO DO BDI</t>
  </si>
  <si>
    <t>AC</t>
  </si>
  <si>
    <t>ADMINISTRAÇÃO CENTRAL DA OBRA</t>
  </si>
  <si>
    <t>S</t>
  </si>
  <si>
    <t>TAXA REPRESENTATIVA DE SEGUROS</t>
  </si>
  <si>
    <t>R</t>
  </si>
  <si>
    <t xml:space="preserve">TAXA REPRESENTATIVA DE RISCOS </t>
  </si>
  <si>
    <t>G</t>
  </si>
  <si>
    <t>TAXA REPRESENTATIVA DE GARANTIAS</t>
  </si>
  <si>
    <t>DF</t>
  </si>
  <si>
    <t>TAXA REPRESENTATIVA DAS DESPESAS FINANCEIRAS</t>
  </si>
  <si>
    <t>TAXA REPRESENTATIVA DO LUCRO</t>
  </si>
  <si>
    <t>TAXA REPRESENTATIVA DA INCIDENCIA DE IMPOSTOS</t>
  </si>
  <si>
    <t>Contribuição Previdenciária sobre a Renda Bruta (CPRB) Lei 13.161/2015</t>
  </si>
  <si>
    <t>COFINS</t>
  </si>
  <si>
    <t>PIS</t>
  </si>
  <si>
    <t>ISS (2 A 5%)</t>
  </si>
  <si>
    <t>CALCULO DO  BDI</t>
  </si>
  <si>
    <t>VALOR TOTAL DO BDI</t>
  </si>
  <si>
    <t>BDI= (((1+(AC+S+R+G))*(1+DF)*(1+L))/(1-I))-1</t>
  </si>
  <si>
    <t>Formula BDI - Paragrafo nº39 do Acórdão nº 2.369/2011 Plenario . Processo nº TC 025.990/2008-2</t>
  </si>
  <si>
    <t>As taxas Acórdão nº 2622/2013 Plenário. TC 036.076/2011-2 sessão:25/09/13</t>
  </si>
  <si>
    <t>DECLARAÇÃO</t>
  </si>
  <si>
    <t>Eu, JOSÉ RODRIGUES DOS REIS, Engenheiro Eletricista, CREA-MT 04326/D, declaro para todos os fins, que os preços unitários da planilha orçamentária, estão de acordo com a TABELA SINAPI-MT custo de composiçôes sintetico de referencia tecnica 19 de Janeiro de 2019 e os preços dos insumos usados nas composições anexas da referida obra:reforma do Campus Tangara da Serra – Instituto Federal de Mato Grosso.</t>
  </si>
  <si>
    <t>.</t>
  </si>
  <si>
    <t>Cuiabá, 07 FEVEREIRO de 2019</t>
  </si>
  <si>
    <t>JOSÉ RODRIGUES DOS REIS</t>
  </si>
  <si>
    <t xml:space="preserve"> Engenheiro Eletricista, CREA-MT 04326/D,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</si>
</sst>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\-??_-;_-@_-"/>
    <numFmt numFmtId="165" formatCode="_(* #,##0.00_);_(* \(#,##0.00\);_(* \-??_);_(@_)"/>
    <numFmt numFmtId="166" formatCode="* #,##0.000000\ ;\-* #,##0.000000\ ;* \-#.0000\ ;@\ "/>
    <numFmt numFmtId="167" formatCode="#,##0.000000"/>
    <numFmt numFmtId="168" formatCode="* #,##0.00000\ ;\-* #,##0.00000\ ;* \-#.000\ ;@\ "/>
    <numFmt numFmtId="169" formatCode="_-* #,##0.0000000_-;\-* #,##0.0000000_-;_-* \-??_-;_-@_-"/>
    <numFmt numFmtId="170" formatCode="_-* #,##0.00000_-;\-* #,##0.00000_-;_-* \-??_-;_-@_-"/>
    <numFmt numFmtId="171" formatCode="_-* #,##0.000000_-;\-* #,##0.000000_-;_-* \-??_-;_-@_-"/>
    <numFmt numFmtId="172" formatCode="_-* #,##0.000_-;\-* #,##0.000_-;_-* \-??_-;_-@_-"/>
    <numFmt numFmtId="173" formatCode="_-* #,##0.00000000_-;\-* #,##0.00000000_-;_-* \-??_-;_-@_-"/>
    <numFmt numFmtId="174" formatCode="0.0"/>
    <numFmt numFmtId="175" formatCode="0.000%"/>
    <numFmt numFmtId="176" formatCode="_-* #,##0.0000_-;\-* #,##0.0000_-;_-* \-??_-;_-@_-"/>
  </numFmts>
  <fonts count="46" x14ac:knownFonts="1"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1F4E79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1F4E79"/>
      <name val="Arial"/>
      <family val="2"/>
      <charset val="1"/>
    </font>
    <font>
      <b/>
      <sz val="8"/>
      <color rgb="FF000000"/>
      <name val="Arial"/>
      <family val="2"/>
      <charset val="1"/>
    </font>
    <font>
      <sz val="10"/>
      <color rgb="FF1F4E79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name val="Arial"/>
      <family val="2"/>
      <charset val="1"/>
    </font>
    <font>
      <sz val="9"/>
      <color rgb="FF7030A0"/>
      <name val="Arial"/>
      <family val="2"/>
      <charset val="1"/>
    </font>
    <font>
      <sz val="9"/>
      <name val="Arial"/>
      <family val="2"/>
      <charset val="1"/>
    </font>
    <font>
      <sz val="9"/>
      <color rgb="FF1F4E79"/>
      <name val="Arial"/>
      <family val="2"/>
      <charset val="1"/>
    </font>
    <font>
      <b/>
      <sz val="9"/>
      <color rgb="FF1F4E79"/>
      <name val="Arial"/>
      <family val="2"/>
      <charset val="1"/>
    </font>
    <font>
      <sz val="9"/>
      <name val="Calibri"/>
      <family val="2"/>
      <charset val="1"/>
    </font>
    <font>
      <sz val="10"/>
      <name val="Arial"/>
      <family val="2"/>
      <charset val="1"/>
    </font>
    <font>
      <sz val="10"/>
      <color rgb="FF7030A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7030A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Arial"/>
      <family val="2"/>
      <charset val="1"/>
    </font>
    <font>
      <sz val="11"/>
      <name val="Arial"/>
      <family val="2"/>
      <charset val="1"/>
    </font>
    <font>
      <b/>
      <sz val="12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2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u/>
      <sz val="11"/>
      <name val="Calibri"/>
      <family val="2"/>
      <charset val="1"/>
    </font>
    <font>
      <b/>
      <sz val="11"/>
      <color rgb="FF333333"/>
      <name val="Calibri"/>
      <family val="2"/>
      <charset val="1"/>
    </font>
    <font>
      <i/>
      <sz val="11"/>
      <color rgb="FF7F7F7F"/>
      <name val="Calibri"/>
      <family val="2"/>
      <charset val="1"/>
    </font>
    <font>
      <b/>
      <sz val="11"/>
      <name val="Arial"/>
      <family val="2"/>
      <charset val="1"/>
    </font>
    <font>
      <b/>
      <sz val="14"/>
      <color rgb="FF333333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b/>
      <sz val="16"/>
      <name val="Arial"/>
      <family val="2"/>
      <charset val="1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0CECE"/>
        <bgColor rgb="FFC0C0C0"/>
      </patternFill>
    </fill>
    <fill>
      <patternFill patternType="solid">
        <fgColor rgb="FFFBE5D6"/>
        <bgColor rgb="FFFFFFFF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5E0B4"/>
        <bgColor rgb="FFD0CECE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164" fontId="45" fillId="0" borderId="0" applyBorder="0" applyProtection="0"/>
    <xf numFmtId="9" fontId="45" fillId="0" borderId="0" applyBorder="0" applyProtection="0"/>
    <xf numFmtId="0" fontId="30" fillId="0" borderId="0" applyBorder="0" applyProtection="0"/>
    <xf numFmtId="0" fontId="39" fillId="0" borderId="0" applyBorder="0" applyProtection="0"/>
  </cellStyleXfs>
  <cellXfs count="352">
    <xf numFmtId="0" fontId="0" fillId="0" borderId="0" xfId="0"/>
    <xf numFmtId="49" fontId="28" fillId="0" borderId="2" xfId="0" applyNumberFormat="1" applyFont="1" applyBorder="1" applyAlignment="1">
      <alignment horizontal="left" vertical="center" wrapText="1"/>
    </xf>
    <xf numFmtId="174" fontId="28" fillId="0" borderId="10" xfId="0" applyNumberFormat="1" applyFont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10" fontId="8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164" fontId="13" fillId="0" borderId="2" xfId="1" applyFont="1" applyBorder="1" applyAlignment="1" applyProtection="1">
      <alignment horizontal="center" vertical="center"/>
    </xf>
    <xf numFmtId="164" fontId="14" fillId="0" borderId="2" xfId="1" applyFont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2" xfId="0" applyFont="1" applyFill="1" applyBorder="1" applyAlignment="1" applyProtection="1">
      <alignment horizontal="right" vertical="center" wrapText="1"/>
      <protection locked="0" hidden="1"/>
    </xf>
    <xf numFmtId="0" fontId="10" fillId="3" borderId="2" xfId="0" applyFont="1" applyFill="1" applyBorder="1" applyAlignment="1" applyProtection="1">
      <alignment horizontal="center" vertical="center"/>
      <protection locked="0" hidden="1"/>
    </xf>
    <xf numFmtId="164" fontId="13" fillId="3" borderId="2" xfId="1" applyFont="1" applyFill="1" applyBorder="1" applyAlignment="1" applyProtection="1">
      <alignment horizontal="center" vertical="center"/>
    </xf>
    <xf numFmtId="164" fontId="1" fillId="3" borderId="2" xfId="1" applyFont="1" applyFill="1" applyBorder="1" applyAlignment="1" applyProtection="1">
      <alignment horizontal="center" vertical="center"/>
    </xf>
    <xf numFmtId="164" fontId="10" fillId="3" borderId="2" xfId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64" fontId="13" fillId="2" borderId="2" xfId="1" applyFont="1" applyFill="1" applyBorder="1" applyAlignment="1" applyProtection="1">
      <alignment horizontal="center" vertical="center"/>
    </xf>
    <xf numFmtId="164" fontId="1" fillId="2" borderId="2" xfId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164" fontId="1" fillId="0" borderId="2" xfId="1" applyFont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0" borderId="0" xfId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164" fontId="15" fillId="0" borderId="2" xfId="1" applyFont="1" applyBorder="1" applyAlignment="1" applyProtection="1">
      <alignment horizontal="center" vertical="center"/>
    </xf>
    <xf numFmtId="164" fontId="15" fillId="3" borderId="2" xfId="1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164" fontId="15" fillId="4" borderId="2" xfId="1" applyFont="1" applyFill="1" applyBorder="1" applyAlignment="1" applyProtection="1">
      <alignment horizontal="center" vertical="center"/>
    </xf>
    <xf numFmtId="164" fontId="1" fillId="4" borderId="2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4" fillId="2" borderId="2" xfId="1" applyFont="1" applyFill="1" applyBorder="1" applyAlignment="1" applyProtection="1">
      <alignment horizontal="center" vertical="center"/>
    </xf>
    <xf numFmtId="164" fontId="15" fillId="2" borderId="2" xfId="1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vertical="center" wrapText="1"/>
    </xf>
    <xf numFmtId="0" fontId="3" fillId="0" borderId="2" xfId="0" applyFont="1" applyBorder="1"/>
    <xf numFmtId="0" fontId="14" fillId="5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0" borderId="2" xfId="0" applyFont="1" applyBorder="1"/>
    <xf numFmtId="0" fontId="10" fillId="0" borderId="2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164" fontId="16" fillId="4" borderId="2" xfId="1" applyFont="1" applyFill="1" applyBorder="1" applyAlignment="1" applyProtection="1">
      <alignment horizontal="center" vertical="center"/>
    </xf>
    <xf numFmtId="164" fontId="10" fillId="4" borderId="2" xfId="1" applyFont="1" applyFill="1" applyBorder="1" applyAlignment="1" applyProtection="1">
      <alignment horizontal="center" vertical="center"/>
    </xf>
    <xf numFmtId="0" fontId="10" fillId="4" borderId="2" xfId="0" applyFont="1" applyFill="1" applyBorder="1"/>
    <xf numFmtId="0" fontId="14" fillId="5" borderId="2" xfId="0" applyFont="1" applyFill="1" applyBorder="1" applyAlignment="1">
      <alignment vertical="center" wrapText="1"/>
    </xf>
    <xf numFmtId="164" fontId="1" fillId="0" borderId="0" xfId="1" applyFont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1" fillId="5" borderId="2" xfId="0" applyFont="1" applyFill="1" applyBorder="1" applyAlignment="1">
      <alignment horizontal="left" vertical="center" wrapText="1"/>
    </xf>
    <xf numFmtId="164" fontId="10" fillId="3" borderId="2" xfId="0" applyNumberFormat="1" applyFont="1" applyFill="1" applyBorder="1" applyAlignment="1" applyProtection="1">
      <alignment horizontal="center" vertical="center"/>
      <protection locked="0" hidden="1"/>
    </xf>
    <xf numFmtId="0" fontId="18" fillId="5" borderId="2" xfId="0" applyFont="1" applyFill="1" applyBorder="1" applyAlignment="1">
      <alignment horizontal="center" vertical="center"/>
    </xf>
    <xf numFmtId="165" fontId="19" fillId="5" borderId="2" xfId="0" applyNumberFormat="1" applyFont="1" applyFill="1" applyBorder="1" applyAlignment="1">
      <alignment horizontal="right" vertical="center"/>
    </xf>
    <xf numFmtId="165" fontId="18" fillId="5" borderId="2" xfId="0" applyNumberFormat="1" applyFont="1" applyFill="1" applyBorder="1" applyAlignment="1">
      <alignment horizontal="right" vertical="center"/>
    </xf>
    <xf numFmtId="165" fontId="18" fillId="5" borderId="3" xfId="0" applyNumberFormat="1" applyFont="1" applyFill="1" applyBorder="1" applyAlignment="1">
      <alignment horizontal="right" vertical="center"/>
    </xf>
    <xf numFmtId="164" fontId="14" fillId="5" borderId="2" xfId="1" applyFont="1" applyFill="1" applyBorder="1" applyAlignment="1" applyProtection="1">
      <alignment horizontal="center" vertical="center"/>
    </xf>
    <xf numFmtId="4" fontId="20" fillId="5" borderId="2" xfId="0" applyNumberFormat="1" applyFont="1" applyFill="1" applyBorder="1" applyAlignment="1">
      <alignment horizontal="right" vertical="center"/>
    </xf>
    <xf numFmtId="4" fontId="21" fillId="5" borderId="2" xfId="0" applyNumberFormat="1" applyFont="1" applyFill="1" applyBorder="1" applyAlignment="1">
      <alignment horizontal="right" vertical="center"/>
    </xf>
    <xf numFmtId="4" fontId="20" fillId="5" borderId="3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3" fontId="14" fillId="0" borderId="2" xfId="1" applyNumberFormat="1" applyFont="1" applyBorder="1" applyAlignment="1" applyProtection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4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horizontal="center" vertical="center" wrapText="1"/>
    </xf>
    <xf numFmtId="4" fontId="24" fillId="6" borderId="1" xfId="0" applyNumberFormat="1" applyFont="1" applyFill="1" applyBorder="1" applyAlignment="1">
      <alignment horizontal="center" vertical="center"/>
    </xf>
    <xf numFmtId="4" fontId="24" fillId="6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Font="1" applyBorder="1" applyAlignment="1" applyProtection="1">
      <alignment horizontal="right"/>
    </xf>
    <xf numFmtId="0" fontId="25" fillId="0" borderId="0" xfId="0" applyFont="1" applyAlignment="1">
      <alignment vertical="center"/>
    </xf>
    <xf numFmtId="0" fontId="14" fillId="0" borderId="0" xfId="0" applyFont="1"/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164" fontId="14" fillId="0" borderId="0" xfId="1" applyFont="1" applyBorder="1" applyAlignment="1" applyProtection="1">
      <alignment horizontal="right"/>
    </xf>
    <xf numFmtId="0" fontId="2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right" vertical="center"/>
    </xf>
    <xf numFmtId="0" fontId="27" fillId="0" borderId="0" xfId="0" applyFont="1"/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164" fontId="28" fillId="0" borderId="2" xfId="1" applyFont="1" applyBorder="1" applyAlignment="1" applyProtection="1">
      <alignment horizontal="right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 wrapText="1"/>
    </xf>
    <xf numFmtId="167" fontId="27" fillId="0" borderId="2" xfId="0" applyNumberFormat="1" applyFont="1" applyBorder="1" applyAlignment="1">
      <alignment horizontal="right" vertical="center"/>
    </xf>
    <xf numFmtId="164" fontId="27" fillId="0" borderId="2" xfId="1" applyFont="1" applyBorder="1" applyAlignment="1" applyProtection="1">
      <alignment vertical="center"/>
    </xf>
    <xf numFmtId="164" fontId="27" fillId="0" borderId="2" xfId="1" applyFont="1" applyBorder="1" applyAlignment="1" applyProtection="1">
      <alignment horizontal="right" vertical="center"/>
    </xf>
    <xf numFmtId="0" fontId="27" fillId="0" borderId="0" xfId="0" applyFont="1" applyAlignment="1">
      <alignment vertical="center"/>
    </xf>
    <xf numFmtId="164" fontId="28" fillId="7" borderId="2" xfId="1" applyFont="1" applyFill="1" applyBorder="1" applyAlignment="1" applyProtection="1">
      <alignment horizontal="right" wrapText="1"/>
    </xf>
    <xf numFmtId="0" fontId="27" fillId="0" borderId="0" xfId="0" applyFont="1" applyBorder="1" applyAlignment="1">
      <alignment vertical="center" wrapText="1"/>
    </xf>
    <xf numFmtId="164" fontId="27" fillId="0" borderId="0" xfId="1" applyFont="1" applyBorder="1" applyAlignment="1" applyProtection="1"/>
    <xf numFmtId="166" fontId="28" fillId="0" borderId="2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 vertical="center"/>
    </xf>
    <xf numFmtId="164" fontId="28" fillId="0" borderId="0" xfId="1" applyFont="1" applyBorder="1" applyAlignment="1" applyProtection="1">
      <alignment horizontal="right" wrapText="1"/>
    </xf>
    <xf numFmtId="0" fontId="28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left" vertical="center" wrapText="1"/>
    </xf>
    <xf numFmtId="166" fontId="27" fillId="0" borderId="2" xfId="1" applyNumberFormat="1" applyFont="1" applyBorder="1" applyAlignment="1" applyProtection="1">
      <alignment horizontal="right" vertical="center"/>
    </xf>
    <xf numFmtId="0" fontId="28" fillId="0" borderId="2" xfId="0" applyFont="1" applyBorder="1" applyAlignment="1">
      <alignment vertical="top" wrapText="1"/>
    </xf>
    <xf numFmtId="0" fontId="28" fillId="0" borderId="2" xfId="0" applyFont="1" applyBorder="1" applyAlignment="1">
      <alignment wrapText="1"/>
    </xf>
    <xf numFmtId="164" fontId="27" fillId="0" borderId="6" xfId="1" applyFont="1" applyBorder="1" applyAlignment="1" applyProtection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168" fontId="27" fillId="0" borderId="0" xfId="1" applyNumberFormat="1" applyFont="1" applyBorder="1" applyAlignment="1" applyProtection="1">
      <alignment horizontal="right" vertical="center"/>
    </xf>
    <xf numFmtId="164" fontId="27" fillId="0" borderId="0" xfId="1" applyFont="1" applyBorder="1" applyAlignment="1" applyProtection="1">
      <alignment vertical="center"/>
    </xf>
    <xf numFmtId="0" fontId="27" fillId="0" borderId="2" xfId="0" applyFont="1" applyBorder="1"/>
    <xf numFmtId="0" fontId="27" fillId="0" borderId="2" xfId="0" applyFont="1" applyBorder="1" applyAlignment="1">
      <alignment wrapText="1"/>
    </xf>
    <xf numFmtId="166" fontId="27" fillId="0" borderId="2" xfId="0" applyNumberFormat="1" applyFont="1" applyBorder="1" applyAlignment="1">
      <alignment horizontal="right" vertical="center"/>
    </xf>
    <xf numFmtId="166" fontId="27" fillId="0" borderId="0" xfId="1" applyNumberFormat="1" applyFont="1" applyBorder="1" applyAlignment="1" applyProtection="1">
      <alignment horizontal="right" vertical="center"/>
    </xf>
    <xf numFmtId="164" fontId="28" fillId="7" borderId="5" xfId="1" applyFont="1" applyFill="1" applyBorder="1" applyAlignment="1" applyProtection="1">
      <alignment horizontal="right" wrapText="1"/>
    </xf>
    <xf numFmtId="166" fontId="27" fillId="0" borderId="0" xfId="0" applyNumberFormat="1" applyFont="1"/>
    <xf numFmtId="164" fontId="28" fillId="7" borderId="2" xfId="1" applyFont="1" applyFill="1" applyBorder="1" applyAlignment="1" applyProtection="1"/>
    <xf numFmtId="164" fontId="27" fillId="0" borderId="0" xfId="1" applyFont="1" applyBorder="1" applyAlignment="1" applyProtection="1">
      <alignment horizontal="right"/>
    </xf>
    <xf numFmtId="0" fontId="28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167" fontId="27" fillId="0" borderId="2" xfId="0" applyNumberFormat="1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164" fontId="28" fillId="7" borderId="2" xfId="1" applyFont="1" applyFill="1" applyBorder="1" applyAlignment="1" applyProtection="1">
      <alignment horizontal="right"/>
    </xf>
    <xf numFmtId="2" fontId="28" fillId="0" borderId="3" xfId="0" applyNumberFormat="1" applyFont="1" applyBorder="1" applyAlignment="1">
      <alignment horizontal="center" vertical="center"/>
    </xf>
    <xf numFmtId="1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1" fontId="27" fillId="5" borderId="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2" fontId="28" fillId="0" borderId="3" xfId="0" applyNumberFormat="1" applyFont="1" applyBorder="1" applyAlignment="1">
      <alignment horizontal="left" vertical="center"/>
    </xf>
    <xf numFmtId="1" fontId="27" fillId="0" borderId="0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 wrapText="1"/>
    </xf>
    <xf numFmtId="2" fontId="27" fillId="0" borderId="0" xfId="0" applyNumberFormat="1" applyFont="1" applyBorder="1" applyAlignment="1">
      <alignment vertical="center"/>
    </xf>
    <xf numFmtId="2" fontId="27" fillId="0" borderId="0" xfId="0" applyNumberFormat="1" applyFont="1" applyBorder="1" applyAlignment="1">
      <alignment horizontal="right" vertical="center"/>
    </xf>
    <xf numFmtId="164" fontId="28" fillId="7" borderId="2" xfId="1" applyFont="1" applyFill="1" applyBorder="1" applyAlignment="1" applyProtection="1">
      <alignment horizontal="right" vertical="center"/>
    </xf>
    <xf numFmtId="2" fontId="28" fillId="0" borderId="2" xfId="0" applyNumberFormat="1" applyFont="1" applyBorder="1" applyAlignment="1">
      <alignment horizontal="left" vertical="center" wrapText="1"/>
    </xf>
    <xf numFmtId="2" fontId="28" fillId="0" borderId="2" xfId="0" applyNumberFormat="1" applyFont="1" applyBorder="1" applyAlignment="1">
      <alignment horizontal="center" vertical="center" wrapText="1"/>
    </xf>
    <xf numFmtId="164" fontId="28" fillId="0" borderId="2" xfId="1" applyFont="1" applyBorder="1" applyAlignment="1" applyProtection="1">
      <alignment horizontal="center" vertical="center" wrapText="1"/>
    </xf>
    <xf numFmtId="169" fontId="27" fillId="0" borderId="2" xfId="1" applyNumberFormat="1" applyFont="1" applyBorder="1" applyAlignment="1" applyProtection="1">
      <alignment horizontal="right" vertical="center"/>
    </xf>
    <xf numFmtId="170" fontId="27" fillId="0" borderId="2" xfId="1" applyNumberFormat="1" applyFont="1" applyBorder="1" applyAlignment="1" applyProtection="1">
      <alignment horizontal="center" vertical="center"/>
    </xf>
    <xf numFmtId="170" fontId="27" fillId="0" borderId="0" xfId="1" applyNumberFormat="1" applyFont="1" applyBorder="1" applyAlignment="1" applyProtection="1">
      <alignment horizontal="right" vertical="center"/>
    </xf>
    <xf numFmtId="171" fontId="27" fillId="0" borderId="2" xfId="1" applyNumberFormat="1" applyFont="1" applyBorder="1" applyAlignment="1" applyProtection="1">
      <alignment horizontal="center" vertical="center"/>
    </xf>
    <xf numFmtId="164" fontId="27" fillId="0" borderId="0" xfId="1" applyFont="1" applyBorder="1" applyAlignment="1" applyProtection="1">
      <alignment horizontal="right" vertical="center"/>
    </xf>
    <xf numFmtId="172" fontId="27" fillId="0" borderId="0" xfId="1" applyNumberFormat="1" applyFont="1" applyBorder="1" applyAlignment="1" applyProtection="1">
      <alignment horizontal="right" vertical="center"/>
    </xf>
    <xf numFmtId="172" fontId="28" fillId="0" borderId="2" xfId="1" applyNumberFormat="1" applyFont="1" applyBorder="1" applyAlignment="1" applyProtection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171" fontId="27" fillId="0" borderId="2" xfId="1" applyNumberFormat="1" applyFont="1" applyBorder="1" applyAlignment="1" applyProtection="1">
      <alignment horizontal="left" vertical="center" wrapText="1"/>
    </xf>
    <xf numFmtId="173" fontId="27" fillId="0" borderId="2" xfId="1" applyNumberFormat="1" applyFont="1" applyBorder="1" applyAlignment="1" applyProtection="1">
      <alignment horizontal="center" vertical="center"/>
    </xf>
    <xf numFmtId="173" fontId="27" fillId="0" borderId="2" xfId="1" applyNumberFormat="1" applyFont="1" applyBorder="1" applyAlignment="1" applyProtection="1">
      <alignment horizontal="left" vertical="center" wrapText="1"/>
    </xf>
    <xf numFmtId="173" fontId="27" fillId="0" borderId="2" xfId="1" applyNumberFormat="1" applyFont="1" applyBorder="1" applyAlignment="1" applyProtection="1">
      <alignment horizontal="right" vertical="center"/>
    </xf>
    <xf numFmtId="164" fontId="28" fillId="0" borderId="0" xfId="1" applyFont="1" applyBorder="1" applyAlignment="1" applyProtection="1">
      <alignment horizontal="right"/>
    </xf>
    <xf numFmtId="0" fontId="27" fillId="0" borderId="2" xfId="1" applyNumberFormat="1" applyFont="1" applyBorder="1" applyAlignment="1" applyProtection="1">
      <alignment horizontal="center" vertical="center"/>
    </xf>
    <xf numFmtId="171" fontId="27" fillId="0" borderId="2" xfId="1" applyNumberFormat="1" applyFont="1" applyBorder="1" applyAlignment="1" applyProtection="1">
      <alignment horizontal="right" vertical="center"/>
    </xf>
    <xf numFmtId="164" fontId="27" fillId="7" borderId="2" xfId="1" applyFont="1" applyFill="1" applyBorder="1" applyAlignment="1" applyProtection="1">
      <alignment horizontal="right"/>
    </xf>
    <xf numFmtId="0" fontId="6" fillId="0" borderId="2" xfId="0" applyFont="1" applyBorder="1" applyAlignment="1">
      <alignment horizontal="center" vertical="center" wrapText="1"/>
    </xf>
    <xf numFmtId="173" fontId="27" fillId="0" borderId="2" xfId="0" applyNumberFormat="1" applyFont="1" applyBorder="1" applyAlignment="1" applyProtection="1">
      <alignment horizontal="left" vertical="center" wrapText="1"/>
    </xf>
    <xf numFmtId="173" fontId="27" fillId="0" borderId="2" xfId="0" applyNumberFormat="1" applyFont="1" applyBorder="1" applyAlignment="1" applyProtection="1">
      <alignment horizontal="center" vertical="center"/>
    </xf>
    <xf numFmtId="171" fontId="27" fillId="0" borderId="2" xfId="0" applyNumberFormat="1" applyFont="1" applyBorder="1" applyAlignment="1" applyProtection="1">
      <alignment horizontal="right" vertical="center"/>
    </xf>
    <xf numFmtId="0" fontId="27" fillId="0" borderId="2" xfId="0" applyFont="1" applyBorder="1" applyAlignment="1" applyProtection="1">
      <alignment vertical="center"/>
    </xf>
    <xf numFmtId="0" fontId="6" fillId="5" borderId="2" xfId="0" applyFont="1" applyFill="1" applyBorder="1" applyAlignment="1">
      <alignment horizontal="center" vertical="center"/>
    </xf>
    <xf numFmtId="164" fontId="27" fillId="0" borderId="2" xfId="1" applyFont="1" applyBorder="1" applyAlignment="1" applyProtection="1">
      <alignment vertical="center" wrapText="1"/>
    </xf>
    <xf numFmtId="0" fontId="27" fillId="0" borderId="2" xfId="1" applyNumberFormat="1" applyFont="1" applyBorder="1" applyAlignment="1" applyProtection="1">
      <alignment horizontal="center" vertical="center" wrapText="1"/>
    </xf>
    <xf numFmtId="49" fontId="27" fillId="0" borderId="2" xfId="1" applyNumberFormat="1" applyFont="1" applyBorder="1" applyAlignment="1" applyProtection="1">
      <alignment horizontal="center" vertical="center"/>
    </xf>
    <xf numFmtId="0" fontId="26" fillId="0" borderId="0" xfId="0" applyFont="1" applyBorder="1" applyAlignment="1"/>
    <xf numFmtId="0" fontId="26" fillId="0" borderId="0" xfId="0" applyFont="1" applyAlignment="1"/>
    <xf numFmtId="0" fontId="6" fillId="0" borderId="2" xfId="0" applyFont="1" applyBorder="1" applyAlignment="1">
      <alignment vertical="center"/>
    </xf>
    <xf numFmtId="0" fontId="30" fillId="0" borderId="2" xfId="3" applyFont="1" applyBorder="1" applyAlignment="1" applyProtection="1">
      <alignment wrapText="1"/>
    </xf>
    <xf numFmtId="4" fontId="27" fillId="0" borderId="2" xfId="0" applyNumberFormat="1" applyFont="1" applyBorder="1" applyAlignment="1">
      <alignment horizontal="right" vertical="center"/>
    </xf>
    <xf numFmtId="0" fontId="30" fillId="0" borderId="2" xfId="3" applyFont="1" applyBorder="1" applyAlignment="1" applyProtection="1">
      <alignment horizontal="left" vertical="center" wrapText="1"/>
    </xf>
    <xf numFmtId="164" fontId="7" fillId="0" borderId="2" xfId="1" applyFont="1" applyBorder="1" applyAlignment="1" applyProtection="1">
      <alignment horizontal="right" vertical="center" wrapText="1"/>
    </xf>
    <xf numFmtId="0" fontId="0" fillId="7" borderId="2" xfId="0" applyFont="1" applyFill="1" applyBorder="1" applyAlignment="1">
      <alignment wrapText="1"/>
    </xf>
    <xf numFmtId="0" fontId="0" fillId="0" borderId="0" xfId="0" applyAlignment="1">
      <alignment wrapText="1"/>
    </xf>
    <xf numFmtId="164" fontId="30" fillId="0" borderId="2" xfId="3" applyNumberFormat="1" applyFont="1" applyBorder="1" applyAlignment="1" applyProtection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/>
    <xf numFmtId="49" fontId="2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31" fillId="0" borderId="0" xfId="0" applyFont="1"/>
    <xf numFmtId="0" fontId="5" fillId="0" borderId="0" xfId="0" applyFont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49" fontId="11" fillId="0" borderId="7" xfId="0" applyNumberFormat="1" applyFont="1" applyBorder="1"/>
    <xf numFmtId="164" fontId="11" fillId="0" borderId="2" xfId="1" applyFont="1" applyBorder="1" applyAlignment="1" applyProtection="1"/>
    <xf numFmtId="0" fontId="32" fillId="0" borderId="0" xfId="0" applyFont="1"/>
    <xf numFmtId="0" fontId="11" fillId="8" borderId="2" xfId="0" applyFont="1" applyFill="1" applyBorder="1"/>
    <xf numFmtId="0" fontId="11" fillId="8" borderId="7" xfId="0" applyFont="1" applyFill="1" applyBorder="1"/>
    <xf numFmtId="164" fontId="11" fillId="8" borderId="7" xfId="1" applyFont="1" applyFill="1" applyBorder="1" applyAlignment="1" applyProtection="1"/>
    <xf numFmtId="0" fontId="20" fillId="0" borderId="0" xfId="0" applyFont="1" applyBorder="1" applyAlignment="1">
      <alignment horizontal="center" vertical="center" wrapText="1"/>
    </xf>
    <xf numFmtId="0" fontId="3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8" fillId="8" borderId="6" xfId="0" applyFont="1" applyFill="1" applyBorder="1" applyAlignment="1">
      <alignment horizontal="center" wrapText="1"/>
    </xf>
    <xf numFmtId="0" fontId="28" fillId="8" borderId="8" xfId="0" applyFont="1" applyFill="1" applyBorder="1" applyAlignment="1">
      <alignment horizontal="center" wrapText="1"/>
    </xf>
    <xf numFmtId="0" fontId="34" fillId="0" borderId="0" xfId="0" applyFont="1"/>
    <xf numFmtId="0" fontId="28" fillId="8" borderId="5" xfId="0" applyFont="1" applyFill="1" applyBorder="1" applyAlignment="1">
      <alignment horizontal="center" wrapText="1"/>
    </xf>
    <xf numFmtId="0" fontId="28" fillId="8" borderId="2" xfId="0" applyFont="1" applyFill="1" applyBorder="1" applyAlignment="1">
      <alignment horizontal="center"/>
    </xf>
    <xf numFmtId="0" fontId="28" fillId="8" borderId="7" xfId="0" applyFont="1" applyFill="1" applyBorder="1" applyAlignment="1">
      <alignment horizontal="center"/>
    </xf>
    <xf numFmtId="0" fontId="28" fillId="8" borderId="9" xfId="0" applyFont="1" applyFill="1" applyBorder="1" applyAlignment="1">
      <alignment horizontal="center"/>
    </xf>
    <xf numFmtId="0" fontId="28" fillId="8" borderId="3" xfId="0" applyFont="1" applyFill="1" applyBorder="1" applyAlignment="1">
      <alignment horizontal="center"/>
    </xf>
    <xf numFmtId="0" fontId="28" fillId="0" borderId="6" xfId="0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28" fillId="0" borderId="2" xfId="0" applyNumberFormat="1" applyFont="1" applyBorder="1" applyAlignment="1">
      <alignment horizontal="center"/>
    </xf>
    <xf numFmtId="10" fontId="6" fillId="0" borderId="5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/>
    </xf>
    <xf numFmtId="10" fontId="6" fillId="0" borderId="7" xfId="0" applyNumberFormat="1" applyFont="1" applyBorder="1" applyAlignment="1">
      <alignment horizontal="center"/>
    </xf>
    <xf numFmtId="10" fontId="28" fillId="0" borderId="2" xfId="2" applyNumberFormat="1" applyFont="1" applyBorder="1" applyAlignment="1" applyProtection="1">
      <alignment horizontal="center"/>
    </xf>
    <xf numFmtId="174" fontId="28" fillId="0" borderId="6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/>
    </xf>
    <xf numFmtId="174" fontId="28" fillId="0" borderId="11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/>
    </xf>
    <xf numFmtId="0" fontId="28" fillId="0" borderId="11" xfId="0" applyFont="1" applyBorder="1" applyAlignment="1" applyProtection="1">
      <alignment horizontal="center" vertical="center" wrapText="1"/>
    </xf>
    <xf numFmtId="10" fontId="6" fillId="0" borderId="11" xfId="0" applyNumberFormat="1" applyFont="1" applyBorder="1" applyAlignment="1">
      <alignment horizontal="center" vertical="center"/>
    </xf>
    <xf numFmtId="174" fontId="28" fillId="0" borderId="5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10" fontId="28" fillId="0" borderId="6" xfId="2" applyNumberFormat="1" applyFont="1" applyBorder="1" applyAlignment="1" applyProtection="1">
      <alignment horizontal="center"/>
    </xf>
    <xf numFmtId="10" fontId="6" fillId="0" borderId="6" xfId="0" applyNumberFormat="1" applyFont="1" applyBorder="1" applyAlignment="1">
      <alignment horizontal="center" vertical="center"/>
    </xf>
    <xf numFmtId="175" fontId="6" fillId="0" borderId="5" xfId="0" applyNumberFormat="1" applyFont="1" applyBorder="1" applyAlignment="1">
      <alignment horizontal="center" vertical="center"/>
    </xf>
    <xf numFmtId="175" fontId="6" fillId="0" borderId="6" xfId="0" applyNumberFormat="1" applyFont="1" applyBorder="1" applyAlignment="1">
      <alignment horizontal="center" vertical="center"/>
    </xf>
    <xf numFmtId="175" fontId="6" fillId="0" borderId="11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28" fillId="8" borderId="12" xfId="0" applyFont="1" applyFill="1" applyBorder="1" applyAlignment="1"/>
    <xf numFmtId="0" fontId="28" fillId="8" borderId="5" xfId="0" applyFont="1" applyFill="1" applyBorder="1" applyAlignment="1">
      <alignment horizontal="center"/>
    </xf>
    <xf numFmtId="4" fontId="28" fillId="8" borderId="5" xfId="0" applyNumberFormat="1" applyFont="1" applyFill="1" applyBorder="1" applyAlignment="1"/>
    <xf numFmtId="4" fontId="28" fillId="8" borderId="4" xfId="0" applyNumberFormat="1" applyFont="1" applyFill="1" applyBorder="1" applyAlignment="1"/>
    <xf numFmtId="4" fontId="28" fillId="8" borderId="13" xfId="0" applyNumberFormat="1" applyFont="1" applyFill="1" applyBorder="1" applyAlignment="1">
      <alignment horizontal="center"/>
    </xf>
    <xf numFmtId="0" fontId="28" fillId="8" borderId="11" xfId="0" applyFont="1" applyFill="1" applyBorder="1" applyAlignment="1">
      <alignment horizontal="center"/>
    </xf>
    <xf numFmtId="4" fontId="28" fillId="8" borderId="11" xfId="0" applyNumberFormat="1" applyFont="1" applyFill="1" applyBorder="1" applyAlignment="1"/>
    <xf numFmtId="4" fontId="28" fillId="8" borderId="14" xfId="0" applyNumberFormat="1" applyFont="1" applyFill="1" applyBorder="1" applyAlignment="1"/>
    <xf numFmtId="10" fontId="28" fillId="8" borderId="11" xfId="2" applyNumberFormat="1" applyFont="1" applyFill="1" applyBorder="1" applyAlignment="1" applyProtection="1"/>
    <xf numFmtId="9" fontId="28" fillId="8" borderId="15" xfId="2" applyFont="1" applyFill="1" applyBorder="1" applyAlignment="1" applyProtection="1">
      <alignment horizontal="center"/>
    </xf>
    <xf numFmtId="0" fontId="28" fillId="8" borderId="16" xfId="0" applyFont="1" applyFill="1" applyBorder="1" applyAlignment="1"/>
    <xf numFmtId="0" fontId="28" fillId="8" borderId="17" xfId="0" applyFont="1" applyFill="1" applyBorder="1" applyAlignment="1">
      <alignment horizontal="center"/>
    </xf>
    <xf numFmtId="165" fontId="28" fillId="8" borderId="17" xfId="0" applyNumberFormat="1" applyFont="1" applyFill="1" applyBorder="1"/>
    <xf numFmtId="10" fontId="28" fillId="8" borderId="18" xfId="2" applyNumberFormat="1" applyFont="1" applyFill="1" applyBorder="1" applyAlignment="1" applyProtection="1">
      <alignment horizontal="center" vertical="center"/>
    </xf>
    <xf numFmtId="4" fontId="28" fillId="8" borderId="17" xfId="0" applyNumberFormat="1" applyFont="1" applyFill="1" applyBorder="1" applyAlignment="1">
      <alignment horizontal="center"/>
    </xf>
    <xf numFmtId="9" fontId="28" fillId="8" borderId="19" xfId="2" applyFont="1" applyFill="1" applyBorder="1" applyAlignment="1" applyProtection="1">
      <alignment horizontal="center"/>
    </xf>
    <xf numFmtId="0" fontId="0" fillId="0" borderId="0" xfId="0" applyFont="1" applyAlignment="1">
      <alignment horizontal="center" vertical="center"/>
    </xf>
    <xf numFmtId="10" fontId="0" fillId="0" borderId="0" xfId="2" applyNumberFormat="1" applyFont="1" applyBorder="1" applyAlignment="1" applyProtection="1">
      <alignment horizontal="center" vertical="center"/>
    </xf>
    <xf numFmtId="0" fontId="0" fillId="0" borderId="0" xfId="0" applyFont="1"/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0" fontId="0" fillId="0" borderId="0" xfId="2" applyNumberFormat="1" applyFont="1" applyBorder="1" applyAlignment="1" applyProtection="1"/>
    <xf numFmtId="0" fontId="36" fillId="8" borderId="3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10" fontId="36" fillId="8" borderId="7" xfId="2" applyNumberFormat="1" applyFont="1" applyFill="1" applyBorder="1" applyAlignment="1" applyProtection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2" xfId="0" applyFont="1" applyBorder="1"/>
    <xf numFmtId="10" fontId="32" fillId="0" borderId="2" xfId="2" applyNumberFormat="1" applyFont="1" applyBorder="1" applyAlignment="1" applyProtection="1"/>
    <xf numFmtId="0" fontId="38" fillId="0" borderId="2" xfId="0" applyFont="1" applyBorder="1" applyAlignment="1">
      <alignment horizontal="left"/>
    </xf>
    <xf numFmtId="10" fontId="38" fillId="0" borderId="2" xfId="2" applyNumberFormat="1" applyFont="1" applyBorder="1" applyAlignment="1" applyProtection="1"/>
    <xf numFmtId="0" fontId="38" fillId="0" borderId="6" xfId="0" applyFont="1" applyBorder="1" applyAlignment="1">
      <alignment horizontal="center" vertical="center"/>
    </xf>
    <xf numFmtId="0" fontId="38" fillId="0" borderId="6" xfId="0" applyFont="1" applyBorder="1"/>
    <xf numFmtId="10" fontId="38" fillId="0" borderId="6" xfId="2" applyNumberFormat="1" applyFont="1" applyBorder="1" applyAlignment="1" applyProtection="1"/>
    <xf numFmtId="0" fontId="38" fillId="8" borderId="20" xfId="0" applyFont="1" applyFill="1" applyBorder="1" applyAlignment="1">
      <alignment horizontal="center" vertical="center"/>
    </xf>
    <xf numFmtId="0" fontId="38" fillId="8" borderId="21" xfId="0" applyFont="1" applyFill="1" applyBorder="1" applyAlignment="1">
      <alignment horizontal="left"/>
    </xf>
    <xf numFmtId="10" fontId="38" fillId="8" borderId="22" xfId="2" applyNumberFormat="1" applyFont="1" applyFill="1" applyBorder="1" applyAlignment="1" applyProtection="1"/>
    <xf numFmtId="0" fontId="36" fillId="0" borderId="2" xfId="4" applyFont="1" applyBorder="1" applyAlignment="1" applyProtection="1"/>
    <xf numFmtId="0" fontId="38" fillId="0" borderId="17" xfId="0" applyFont="1" applyBorder="1" applyAlignment="1">
      <alignment horizontal="center" vertical="center"/>
    </xf>
    <xf numFmtId="0" fontId="38" fillId="0" borderId="17" xfId="0" applyFont="1" applyBorder="1" applyAlignment="1">
      <alignment horizontal="right"/>
    </xf>
    <xf numFmtId="10" fontId="38" fillId="0" borderId="17" xfId="2" applyNumberFormat="1" applyFont="1" applyBorder="1" applyAlignment="1" applyProtection="1"/>
    <xf numFmtId="0" fontId="38" fillId="0" borderId="11" xfId="0" applyFont="1" applyBorder="1" applyAlignment="1">
      <alignment horizontal="center"/>
    </xf>
    <xf numFmtId="176" fontId="40" fillId="0" borderId="23" xfId="1" applyNumberFormat="1" applyFont="1" applyBorder="1" applyAlignment="1" applyProtection="1">
      <alignment horizontal="center" vertical="center"/>
    </xf>
    <xf numFmtId="0" fontId="41" fillId="8" borderId="20" xfId="0" applyFont="1" applyFill="1" applyBorder="1" applyAlignment="1">
      <alignment horizontal="center"/>
    </xf>
    <xf numFmtId="0" fontId="41" fillId="8" borderId="21" xfId="0" applyFont="1" applyFill="1" applyBorder="1"/>
    <xf numFmtId="10" fontId="41" fillId="8" borderId="22" xfId="2" applyNumberFormat="1" applyFont="1" applyFill="1" applyBorder="1" applyAlignment="1" applyProtection="1"/>
    <xf numFmtId="0" fontId="42" fillId="0" borderId="0" xfId="0" applyFont="1"/>
    <xf numFmtId="10" fontId="42" fillId="0" borderId="0" xfId="2" applyNumberFormat="1" applyFont="1" applyBorder="1" applyAlignment="1" applyProtection="1"/>
    <xf numFmtId="10" fontId="31" fillId="0" borderId="0" xfId="2" applyNumberFormat="1" applyFont="1" applyBorder="1" applyAlignment="1" applyProtection="1"/>
    <xf numFmtId="0" fontId="31" fillId="0" borderId="0" xfId="0" applyFont="1" applyAlignment="1">
      <alignment horizontal="right"/>
    </xf>
    <xf numFmtId="0" fontId="18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3" fillId="0" borderId="0" xfId="0" applyFont="1" applyAlignment="1">
      <alignment wrapText="1"/>
    </xf>
    <xf numFmtId="0" fontId="44" fillId="0" borderId="0" xfId="0" applyFont="1" applyAlignment="1">
      <alignment horizontal="center"/>
    </xf>
    <xf numFmtId="0" fontId="25" fillId="0" borderId="0" xfId="0" applyFont="1" applyAlignment="1">
      <alignment horizontal="justify"/>
    </xf>
    <xf numFmtId="0" fontId="27" fillId="0" borderId="0" xfId="0" applyFont="1" applyAlignment="1">
      <alignment horizontal="justify" wrapText="1"/>
    </xf>
    <xf numFmtId="0" fontId="2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8" fillId="0" borderId="2" xfId="0" applyFont="1" applyBorder="1" applyAlignment="1" applyProtection="1">
      <alignment horizontal="center" vertical="center"/>
    </xf>
    <xf numFmtId="49" fontId="28" fillId="0" borderId="0" xfId="0" applyNumberFormat="1" applyFont="1" applyBorder="1" applyAlignment="1">
      <alignment horizontal="left" vertical="center" wrapText="1"/>
    </xf>
    <xf numFmtId="49" fontId="28" fillId="0" borderId="6" xfId="0" applyNumberFormat="1" applyFont="1" applyBorder="1" applyAlignment="1">
      <alignment horizontal="left" vertical="center" wrapText="1"/>
    </xf>
    <xf numFmtId="0" fontId="28" fillId="0" borderId="6" xfId="0" applyFont="1" applyBorder="1" applyAlignment="1" applyProtection="1">
      <alignment horizontal="center" vertical="center"/>
    </xf>
    <xf numFmtId="174" fontId="28" fillId="0" borderId="6" xfId="0" applyNumberFormat="1" applyFont="1" applyBorder="1" applyAlignment="1">
      <alignment horizontal="center" vertical="center" wrapText="1"/>
    </xf>
    <xf numFmtId="174" fontId="28" fillId="0" borderId="2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</cellXfs>
  <cellStyles count="5">
    <cellStyle name="Hiperlink" xfId="3" builtinId="8"/>
    <cellStyle name="Normal" xfId="0" builtinId="0"/>
    <cellStyle name="Porcentagem" xfId="2" builtinId="5"/>
    <cellStyle name="Texto Explicativo" xfId="4" builtinId="53" customBuiltin="1"/>
    <cellStyle name="Vírgula" xfId="1" builtinId="3"/>
  </cellStyles>
  <dxfs count="10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C0C0C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C0C0C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C0C0C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C0C0C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C0C0C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7030A0"/>
      <rgbColor rgb="FFFBE5D6"/>
      <rgbColor rgb="FFCCFFFF"/>
      <rgbColor rgb="FF660066"/>
      <rgbColor rgb="FFFF8080"/>
      <rgbColor rgb="FF0563C1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2320560</xdr:colOff>
      <xdr:row>0</xdr:row>
      <xdr:rowOff>22320</xdr:rowOff>
    </xdr:from>
    <xdr:to>
      <xdr:col>3</xdr:col>
      <xdr:colOff>3349800</xdr:colOff>
      <xdr:row>4</xdr:row>
      <xdr:rowOff>167400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872600" y="22320"/>
          <a:ext cx="1029240" cy="868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2228760</xdr:colOff>
      <xdr:row>0</xdr:row>
      <xdr:rowOff>0</xdr:rowOff>
    </xdr:from>
    <xdr:to>
      <xdr:col>5</xdr:col>
      <xdr:colOff>199440</xdr:colOff>
      <xdr:row>3</xdr:row>
      <xdr:rowOff>86760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802760" y="0"/>
          <a:ext cx="1434600" cy="658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2228760</xdr:colOff>
      <xdr:row>0</xdr:row>
      <xdr:rowOff>0</xdr:rowOff>
    </xdr:from>
    <xdr:to>
      <xdr:col>3</xdr:col>
      <xdr:colOff>2229120</xdr:colOff>
      <xdr:row>3</xdr:row>
      <xdr:rowOff>115560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89520" y="0"/>
          <a:ext cx="360" cy="686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2228760</xdr:colOff>
      <xdr:row>0</xdr:row>
      <xdr:rowOff>0</xdr:rowOff>
    </xdr:from>
    <xdr:to>
      <xdr:col>3</xdr:col>
      <xdr:colOff>2229120</xdr:colOff>
      <xdr:row>3</xdr:row>
      <xdr:rowOff>115560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89520" y="0"/>
          <a:ext cx="360" cy="686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2228760</xdr:colOff>
      <xdr:row>0</xdr:row>
      <xdr:rowOff>0</xdr:rowOff>
    </xdr:from>
    <xdr:to>
      <xdr:col>3</xdr:col>
      <xdr:colOff>2229120</xdr:colOff>
      <xdr:row>3</xdr:row>
      <xdr:rowOff>115200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89520" y="0"/>
          <a:ext cx="360" cy="686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2228760</xdr:colOff>
      <xdr:row>0</xdr:row>
      <xdr:rowOff>0</xdr:rowOff>
    </xdr:from>
    <xdr:to>
      <xdr:col>3</xdr:col>
      <xdr:colOff>2229120</xdr:colOff>
      <xdr:row>3</xdr:row>
      <xdr:rowOff>115200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89520" y="0"/>
          <a:ext cx="360" cy="686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152280</xdr:colOff>
      <xdr:row>0</xdr:row>
      <xdr:rowOff>76320</xdr:rowOff>
    </xdr:from>
    <xdr:to>
      <xdr:col>3</xdr:col>
      <xdr:colOff>961560</xdr:colOff>
      <xdr:row>3</xdr:row>
      <xdr:rowOff>163080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413040" y="76320"/>
          <a:ext cx="809280" cy="658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2048040</xdr:colOff>
      <xdr:row>0</xdr:row>
      <xdr:rowOff>133200</xdr:rowOff>
    </xdr:from>
    <xdr:to>
      <xdr:col>1</xdr:col>
      <xdr:colOff>2949480</xdr:colOff>
      <xdr:row>4</xdr:row>
      <xdr:rowOff>126360</xdr:rowOff>
    </xdr:to>
    <xdr:pic>
      <xdr:nvPicPr>
        <xdr:cNvPr id="7" name="Imagem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06560" y="133200"/>
          <a:ext cx="901440" cy="75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219240</xdr:colOff>
      <xdr:row>0</xdr:row>
      <xdr:rowOff>28440</xdr:rowOff>
    </xdr:from>
    <xdr:to>
      <xdr:col>7</xdr:col>
      <xdr:colOff>446760</xdr:colOff>
      <xdr:row>4</xdr:row>
      <xdr:rowOff>160920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05280" y="28440"/>
          <a:ext cx="1103040" cy="78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2019240</xdr:colOff>
      <xdr:row>0</xdr:row>
      <xdr:rowOff>123840</xdr:rowOff>
    </xdr:from>
    <xdr:to>
      <xdr:col>1</xdr:col>
      <xdr:colOff>2809080</xdr:colOff>
      <xdr:row>4</xdr:row>
      <xdr:rowOff>50400</xdr:rowOff>
    </xdr:to>
    <xdr:pic>
      <xdr:nvPicPr>
        <xdr:cNvPr id="9" name="Imagem 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590560" y="123840"/>
          <a:ext cx="789840" cy="688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2228760</xdr:colOff>
      <xdr:row>0</xdr:row>
      <xdr:rowOff>0</xdr:rowOff>
    </xdr:from>
    <xdr:to>
      <xdr:col>0</xdr:col>
      <xdr:colOff>3104280</xdr:colOff>
      <xdr:row>5</xdr:row>
      <xdr:rowOff>47160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28760" y="0"/>
          <a:ext cx="875520" cy="856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hoptime.com.br/produto/45822564/refletor-led-100w-branco-frio-6000k-maxtel?pfm_carac=refletor%20led%20100w&amp;pfm_index=4&amp;pfm_page=search&amp;pfm_pos=grid&amp;pfm_type=search_page%20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submarino.com.br/produto/29474439/refletor-led-100w-smd-holofote-bivolt-prova-d-agua-branco-frio-kit-2?pfm_carac=refletor%20led%20100w&amp;pfm_index=14&amp;pfm_page=search&amp;pfm_pos=grid&amp;pfm_type=search_page%20&amp;sellerId" TargetMode="External"/><Relationship Id="rId1" Type="http://schemas.openxmlformats.org/officeDocument/2006/relationships/hyperlink" Target="https://www.iluminim.com.br/refletor-holofote-led-100w-branco-frio" TargetMode="External"/><Relationship Id="rId6" Type="http://schemas.openxmlformats.org/officeDocument/2006/relationships/hyperlink" Target="https://www.submarino.com.br/produto/45349544/refletor-holofote-led-200w-branco-frio?pfm_carac=refletor%20led%20200w&amp;pfm_index=23&amp;pfm_page=search&amp;pfm_pos=grid&amp;pfm_type=search_page%20&amp;sellerId" TargetMode="External"/><Relationship Id="rId5" Type="http://schemas.openxmlformats.org/officeDocument/2006/relationships/hyperlink" Target="https://www.americanas.com.br/produto/44865850/refletor-led-200w-branco-frio?pfm_carac=refletor%20led%20200w&amp;pfm_index=5&amp;pfm_page=search&amp;pfm_pos=grid&amp;pfm_type=search_page%20&amp;sellerId" TargetMode="External"/><Relationship Id="rId4" Type="http://schemas.openxmlformats.org/officeDocument/2006/relationships/hyperlink" Target="https://www.iluminim.com.br/refletor-micro-led-slim-200w-branco-fri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MK576"/>
  <sheetViews>
    <sheetView topLeftCell="A15" zoomScale="90" zoomScaleNormal="90" workbookViewId="0">
      <selection activeCell="H15" sqref="H15"/>
    </sheetView>
  </sheetViews>
  <sheetFormatPr defaultRowHeight="15" x14ac:dyDescent="0.25"/>
  <cols>
    <col min="1" max="1" width="7.140625" style="14" customWidth="1"/>
    <col min="2" max="2" width="9.85546875" style="15" customWidth="1"/>
    <col min="3" max="3" width="11.7109375" style="16" customWidth="1"/>
    <col min="4" max="4" width="59.7109375" style="17" customWidth="1"/>
    <col min="5" max="5" width="6.28515625" style="18" customWidth="1"/>
    <col min="6" max="6" width="10" style="19" customWidth="1"/>
    <col min="7" max="8" width="10" style="20" customWidth="1"/>
    <col min="9" max="9" width="16.140625" style="20" customWidth="1"/>
    <col min="10" max="10" width="9.140625" style="18" customWidth="1"/>
    <col min="11" max="11" width="9.140625" style="18" hidden="1" customWidth="1"/>
    <col min="12" max="1025" width="9.140625" style="18" customWidth="1"/>
  </cols>
  <sheetData>
    <row r="6" spans="1:12" ht="15.75" x14ac:dyDescent="0.25">
      <c r="A6" s="13" t="s">
        <v>0</v>
      </c>
      <c r="B6" s="13"/>
      <c r="C6" s="13"/>
      <c r="D6" s="13"/>
      <c r="E6" s="13"/>
      <c r="F6" s="13"/>
      <c r="G6" s="13"/>
      <c r="H6" s="13"/>
      <c r="I6" s="13"/>
    </row>
    <row r="7" spans="1:12" ht="15.75" x14ac:dyDescent="0.25">
      <c r="A7" s="13" t="s">
        <v>1</v>
      </c>
      <c r="B7" s="13"/>
      <c r="C7" s="13"/>
      <c r="D7" s="13"/>
      <c r="E7" s="13"/>
      <c r="F7" s="13"/>
      <c r="G7" s="13"/>
      <c r="H7" s="13"/>
      <c r="I7" s="13"/>
    </row>
    <row r="8" spans="1:12" ht="15.75" x14ac:dyDescent="0.25">
      <c r="A8" s="13" t="s">
        <v>2</v>
      </c>
      <c r="B8" s="13"/>
      <c r="C8" s="13"/>
      <c r="D8" s="13"/>
      <c r="E8" s="13"/>
      <c r="F8" s="13"/>
      <c r="G8" s="13"/>
      <c r="H8" s="13"/>
      <c r="I8" s="13"/>
    </row>
    <row r="9" spans="1:12" s="23" customFormat="1" ht="11.25" x14ac:dyDescent="0.2">
      <c r="A9" s="21"/>
      <c r="B9" s="22"/>
      <c r="D9" s="22"/>
      <c r="F9" s="24"/>
      <c r="G9" s="21"/>
      <c r="H9" s="21"/>
      <c r="I9" s="21"/>
    </row>
    <row r="10" spans="1:12" ht="15.75" x14ac:dyDescent="0.25">
      <c r="A10" s="13" t="s">
        <v>3</v>
      </c>
      <c r="B10" s="13"/>
      <c r="C10" s="13"/>
      <c r="D10" s="13"/>
      <c r="E10" s="13"/>
      <c r="F10" s="13"/>
      <c r="G10" s="13"/>
      <c r="H10" s="13"/>
      <c r="I10" s="13"/>
    </row>
    <row r="11" spans="1:12" s="23" customFormat="1" ht="15.75" x14ac:dyDescent="0.2">
      <c r="A11" s="25"/>
      <c r="B11" s="25"/>
      <c r="C11" s="25"/>
      <c r="D11" s="26" t="s">
        <v>4</v>
      </c>
      <c r="E11" s="25"/>
      <c r="F11" s="25"/>
      <c r="G11" s="25"/>
      <c r="H11" s="27">
        <f>BDI!C29</f>
        <v>0.19033826857445679</v>
      </c>
      <c r="I11" s="25"/>
      <c r="L11" s="23">
        <f>H11/100</f>
        <v>1.903382685744568E-3</v>
      </c>
    </row>
    <row r="12" spans="1:12" x14ac:dyDescent="0.25">
      <c r="A12" s="12" t="s">
        <v>5</v>
      </c>
      <c r="B12" s="12"/>
      <c r="C12" s="12"/>
      <c r="D12" s="12"/>
      <c r="E12" s="12"/>
      <c r="F12" s="12"/>
      <c r="G12" s="12"/>
      <c r="H12" s="12"/>
      <c r="I12" s="12"/>
    </row>
    <row r="13" spans="1:12" ht="14.25" customHeight="1" x14ac:dyDescent="0.25">
      <c r="A13" s="11" t="s">
        <v>6</v>
      </c>
      <c r="B13" s="11"/>
      <c r="C13" s="11"/>
      <c r="D13" s="11"/>
      <c r="E13" s="11"/>
      <c r="F13" s="11"/>
      <c r="G13" s="11"/>
      <c r="H13" s="11"/>
      <c r="I13" s="11"/>
    </row>
    <row r="14" spans="1:12" s="29" customFormat="1" ht="12.75" x14ac:dyDescent="0.2">
      <c r="A14" s="10" t="s">
        <v>7</v>
      </c>
      <c r="B14" s="10"/>
      <c r="C14" s="10"/>
      <c r="D14" s="10"/>
      <c r="E14" s="28"/>
      <c r="F14" s="28"/>
      <c r="G14" s="28"/>
      <c r="H14" s="28"/>
      <c r="I14" s="28"/>
    </row>
    <row r="15" spans="1:12" s="16" customFormat="1" ht="12.75" x14ac:dyDescent="0.2">
      <c r="A15" s="10" t="s">
        <v>8</v>
      </c>
      <c r="B15" s="10"/>
      <c r="C15" s="10"/>
      <c r="D15" s="10"/>
      <c r="F15" s="30"/>
      <c r="G15" s="31"/>
      <c r="H15" s="31" t="s">
        <v>9</v>
      </c>
      <c r="I15" s="31"/>
    </row>
    <row r="16" spans="1:12" s="16" customFormat="1" ht="12.75" x14ac:dyDescent="0.2">
      <c r="A16" s="32" t="s">
        <v>4</v>
      </c>
      <c r="B16" s="33"/>
      <c r="C16" s="29"/>
      <c r="D16" s="33"/>
      <c r="F16" s="32"/>
      <c r="G16" s="31"/>
      <c r="H16" s="31"/>
      <c r="I16" s="31"/>
    </row>
    <row r="17" spans="1:11" s="16" customFormat="1" ht="15" customHeight="1" x14ac:dyDescent="0.2">
      <c r="A17" s="32" t="s">
        <v>10</v>
      </c>
      <c r="B17" s="33"/>
      <c r="D17" s="33"/>
      <c r="E17" s="9" t="s">
        <v>11</v>
      </c>
      <c r="F17" s="9"/>
      <c r="G17" s="9"/>
      <c r="H17" s="31"/>
      <c r="I17" s="31"/>
    </row>
    <row r="18" spans="1:11" ht="45" x14ac:dyDescent="0.25">
      <c r="A18" s="34" t="s">
        <v>12</v>
      </c>
      <c r="B18" s="35" t="s">
        <v>13</v>
      </c>
      <c r="C18" s="35" t="s">
        <v>14</v>
      </c>
      <c r="D18" s="35" t="s">
        <v>15</v>
      </c>
      <c r="E18" s="35" t="s">
        <v>16</v>
      </c>
      <c r="F18" s="36" t="s">
        <v>17</v>
      </c>
      <c r="G18" s="36" t="s">
        <v>18</v>
      </c>
      <c r="H18" s="36" t="s">
        <v>19</v>
      </c>
      <c r="I18" s="36" t="s">
        <v>20</v>
      </c>
    </row>
    <row r="19" spans="1:11" x14ac:dyDescent="0.25">
      <c r="A19" s="37" t="s">
        <v>21</v>
      </c>
      <c r="B19" s="37"/>
      <c r="C19" s="38"/>
      <c r="D19" s="39" t="s">
        <v>22</v>
      </c>
      <c r="E19" s="37"/>
      <c r="F19" s="40"/>
      <c r="G19" s="40"/>
      <c r="H19" s="40"/>
      <c r="I19" s="40"/>
    </row>
    <row r="20" spans="1:11" x14ac:dyDescent="0.25">
      <c r="A20" s="41" t="s">
        <v>23</v>
      </c>
      <c r="B20" s="42" t="s">
        <v>24</v>
      </c>
      <c r="C20" s="42" t="s">
        <v>25</v>
      </c>
      <c r="D20" s="43" t="s">
        <v>26</v>
      </c>
      <c r="E20" s="42" t="s">
        <v>27</v>
      </c>
      <c r="F20" s="44">
        <v>4</v>
      </c>
      <c r="G20" s="45">
        <v>478.67</v>
      </c>
      <c r="H20" s="45">
        <f>TRUNC(G20*1.1903,2)</f>
        <v>569.76</v>
      </c>
      <c r="I20" s="45">
        <f>TRUNC(F20*H20,2)</f>
        <v>2279.04</v>
      </c>
    </row>
    <row r="21" spans="1:11" ht="24" x14ac:dyDescent="0.25">
      <c r="A21" s="41" t="s">
        <v>28</v>
      </c>
      <c r="B21" s="42">
        <v>93584</v>
      </c>
      <c r="C21" s="42" t="s">
        <v>25</v>
      </c>
      <c r="D21" s="43" t="s">
        <v>29</v>
      </c>
      <c r="E21" s="42" t="s">
        <v>27</v>
      </c>
      <c r="F21" s="44">
        <v>12</v>
      </c>
      <c r="G21" s="45">
        <v>485.36</v>
      </c>
      <c r="H21" s="45">
        <f>TRUNC(G21*1.1903,2)</f>
        <v>577.72</v>
      </c>
      <c r="I21" s="45">
        <f>TRUNC(F21*H21,2)</f>
        <v>6932.64</v>
      </c>
    </row>
    <row r="22" spans="1:11" x14ac:dyDescent="0.25">
      <c r="A22" s="46"/>
      <c r="B22" s="47"/>
      <c r="C22" s="48"/>
      <c r="D22" s="49" t="s">
        <v>30</v>
      </c>
      <c r="E22" s="50" t="s">
        <v>31</v>
      </c>
      <c r="F22" s="51"/>
      <c r="G22" s="52"/>
      <c r="H22" s="52"/>
      <c r="I22" s="53">
        <f>SUM(I20:I21)</f>
        <v>9211.68</v>
      </c>
    </row>
    <row r="23" spans="1:11" x14ac:dyDescent="0.25">
      <c r="A23" s="54" t="s">
        <v>32</v>
      </c>
      <c r="B23" s="55"/>
      <c r="C23" s="55"/>
      <c r="D23" s="39" t="s">
        <v>33</v>
      </c>
      <c r="E23" s="55"/>
      <c r="F23" s="56"/>
      <c r="G23" s="57"/>
      <c r="H23" s="57"/>
      <c r="I23" s="57"/>
    </row>
    <row r="24" spans="1:11" x14ac:dyDescent="0.25">
      <c r="A24" s="41"/>
      <c r="B24" s="58"/>
      <c r="C24" s="58"/>
      <c r="D24" s="59" t="s">
        <v>34</v>
      </c>
      <c r="E24" s="58"/>
      <c r="F24" s="44"/>
      <c r="G24" s="60"/>
      <c r="H24" s="60"/>
      <c r="I24" s="60"/>
    </row>
    <row r="25" spans="1:11" ht="24" x14ac:dyDescent="0.25">
      <c r="A25" s="61" t="s">
        <v>35</v>
      </c>
      <c r="B25" s="42">
        <v>97622</v>
      </c>
      <c r="C25" s="42" t="s">
        <v>25</v>
      </c>
      <c r="D25" s="43" t="s">
        <v>36</v>
      </c>
      <c r="E25" s="61" t="s">
        <v>37</v>
      </c>
      <c r="F25" s="44">
        <f>6.25</f>
        <v>6.25</v>
      </c>
      <c r="G25" s="62">
        <v>42.76</v>
      </c>
      <c r="H25" s="45">
        <f t="shared" ref="H25:H39" si="0">TRUNC(G25*1.1903,2)</f>
        <v>50.89</v>
      </c>
      <c r="I25" s="45">
        <f t="shared" ref="I25:I39" si="1">TRUNC(F25*H25,2)</f>
        <v>318.06</v>
      </c>
      <c r="K25" s="18">
        <f>6.25/2</f>
        <v>3.125</v>
      </c>
    </row>
    <row r="26" spans="1:11" ht="24" x14ac:dyDescent="0.25">
      <c r="A26" s="61" t="s">
        <v>38</v>
      </c>
      <c r="B26" s="42">
        <v>97633</v>
      </c>
      <c r="C26" s="42" t="s">
        <v>25</v>
      </c>
      <c r="D26" s="63" t="s">
        <v>39</v>
      </c>
      <c r="E26" s="61" t="s">
        <v>27</v>
      </c>
      <c r="F26" s="44">
        <v>93.64</v>
      </c>
      <c r="G26" s="45">
        <v>16.98</v>
      </c>
      <c r="H26" s="45">
        <f t="shared" si="0"/>
        <v>20.21</v>
      </c>
      <c r="I26" s="45">
        <f t="shared" si="1"/>
        <v>1892.46</v>
      </c>
    </row>
    <row r="27" spans="1:11" ht="24" x14ac:dyDescent="0.25">
      <c r="A27" s="61" t="s">
        <v>40</v>
      </c>
      <c r="B27" s="42" t="s">
        <v>41</v>
      </c>
      <c r="C27" s="42" t="s">
        <v>42</v>
      </c>
      <c r="D27" s="43" t="s">
        <v>43</v>
      </c>
      <c r="E27" s="61" t="s">
        <v>27</v>
      </c>
      <c r="F27" s="44">
        <v>3.24</v>
      </c>
      <c r="G27" s="45">
        <f>Composição!H575</f>
        <v>16.43</v>
      </c>
      <c r="H27" s="45">
        <f t="shared" si="0"/>
        <v>19.55</v>
      </c>
      <c r="I27" s="45">
        <f t="shared" si="1"/>
        <v>63.34</v>
      </c>
    </row>
    <row r="28" spans="1:11" ht="24" x14ac:dyDescent="0.25">
      <c r="A28" s="61" t="s">
        <v>44</v>
      </c>
      <c r="B28" s="42">
        <v>97663</v>
      </c>
      <c r="C28" s="42" t="s">
        <v>25</v>
      </c>
      <c r="D28" s="43" t="s">
        <v>45</v>
      </c>
      <c r="E28" s="61" t="s">
        <v>46</v>
      </c>
      <c r="F28" s="44">
        <v>2</v>
      </c>
      <c r="G28" s="45">
        <v>9.31</v>
      </c>
      <c r="H28" s="45">
        <f t="shared" si="0"/>
        <v>11.08</v>
      </c>
      <c r="I28" s="45">
        <f t="shared" si="1"/>
        <v>22.16</v>
      </c>
    </row>
    <row r="29" spans="1:11" ht="24" x14ac:dyDescent="0.25">
      <c r="A29" s="61" t="s">
        <v>47</v>
      </c>
      <c r="B29" s="42">
        <v>97663</v>
      </c>
      <c r="C29" s="42" t="s">
        <v>25</v>
      </c>
      <c r="D29" s="43" t="s">
        <v>48</v>
      </c>
      <c r="E29" s="61" t="s">
        <v>46</v>
      </c>
      <c r="F29" s="44">
        <v>2</v>
      </c>
      <c r="G29" s="45">
        <v>9.31</v>
      </c>
      <c r="H29" s="45">
        <f t="shared" si="0"/>
        <v>11.08</v>
      </c>
      <c r="I29" s="45">
        <f t="shared" si="1"/>
        <v>22.16</v>
      </c>
    </row>
    <row r="30" spans="1:11" x14ac:dyDescent="0.25">
      <c r="A30" s="61" t="s">
        <v>49</v>
      </c>
      <c r="B30" s="42" t="s">
        <v>50</v>
      </c>
      <c r="C30" s="41" t="s">
        <v>42</v>
      </c>
      <c r="D30" s="43" t="s">
        <v>51</v>
      </c>
      <c r="E30" s="61" t="s">
        <v>27</v>
      </c>
      <c r="F30" s="44">
        <f>0.8*0.9*2</f>
        <v>1.4400000000000002</v>
      </c>
      <c r="G30" s="45">
        <f>Composição!H562</f>
        <v>16.347000000000001</v>
      </c>
      <c r="H30" s="45">
        <f t="shared" si="0"/>
        <v>19.45</v>
      </c>
      <c r="I30" s="45">
        <f t="shared" si="1"/>
        <v>28</v>
      </c>
    </row>
    <row r="31" spans="1:11" ht="24" x14ac:dyDescent="0.25">
      <c r="A31" s="61" t="s">
        <v>52</v>
      </c>
      <c r="B31" s="42" t="s">
        <v>53</v>
      </c>
      <c r="C31" s="41" t="s">
        <v>42</v>
      </c>
      <c r="D31" s="43" t="s">
        <v>54</v>
      </c>
      <c r="E31" s="61" t="s">
        <v>46</v>
      </c>
      <c r="F31" s="44">
        <v>2</v>
      </c>
      <c r="G31" s="45">
        <f>Composição!H566</f>
        <v>10.953880999999999</v>
      </c>
      <c r="H31" s="45">
        <f t="shared" si="0"/>
        <v>13.03</v>
      </c>
      <c r="I31" s="45">
        <f t="shared" si="1"/>
        <v>26.06</v>
      </c>
    </row>
    <row r="32" spans="1:11" ht="24" x14ac:dyDescent="0.25">
      <c r="A32" s="61" t="s">
        <v>55</v>
      </c>
      <c r="B32" s="42" t="s">
        <v>56</v>
      </c>
      <c r="C32" s="41" t="s">
        <v>42</v>
      </c>
      <c r="D32" s="43" t="s">
        <v>57</v>
      </c>
      <c r="E32" s="61" t="s">
        <v>46</v>
      </c>
      <c r="F32" s="44">
        <v>1</v>
      </c>
      <c r="G32" s="45">
        <f>Composição!H571</f>
        <v>9.254999999999999</v>
      </c>
      <c r="H32" s="45">
        <f t="shared" si="0"/>
        <v>11.01</v>
      </c>
      <c r="I32" s="45">
        <f t="shared" si="1"/>
        <v>11.01</v>
      </c>
    </row>
    <row r="33" spans="1:11" ht="24" x14ac:dyDescent="0.25">
      <c r="A33" s="61" t="s">
        <v>58</v>
      </c>
      <c r="B33" s="42">
        <v>97662</v>
      </c>
      <c r="C33" s="42" t="s">
        <v>25</v>
      </c>
      <c r="D33" s="63" t="s">
        <v>59</v>
      </c>
      <c r="E33" s="61" t="s">
        <v>60</v>
      </c>
      <c r="F33" s="44">
        <f>1.85+1.85+3.1+4.85+4.85</f>
        <v>16.5</v>
      </c>
      <c r="G33" s="45">
        <v>0.37</v>
      </c>
      <c r="H33" s="45">
        <f t="shared" si="0"/>
        <v>0.44</v>
      </c>
      <c r="I33" s="45">
        <f t="shared" si="1"/>
        <v>7.26</v>
      </c>
    </row>
    <row r="34" spans="1:11" x14ac:dyDescent="0.25">
      <c r="A34" s="61" t="s">
        <v>61</v>
      </c>
      <c r="B34" s="42" t="s">
        <v>62</v>
      </c>
      <c r="C34" s="41" t="s">
        <v>42</v>
      </c>
      <c r="D34" s="43" t="s">
        <v>63</v>
      </c>
      <c r="E34" s="61" t="s">
        <v>27</v>
      </c>
      <c r="F34" s="44">
        <v>31.52</v>
      </c>
      <c r="G34" s="45">
        <f>Composição!H579</f>
        <v>24.645</v>
      </c>
      <c r="H34" s="45">
        <f t="shared" si="0"/>
        <v>29.33</v>
      </c>
      <c r="I34" s="45">
        <f t="shared" si="1"/>
        <v>924.48</v>
      </c>
    </row>
    <row r="35" spans="1:11" ht="24" x14ac:dyDescent="0.25">
      <c r="A35" s="61" t="s">
        <v>64</v>
      </c>
      <c r="B35" s="42">
        <v>97644</v>
      </c>
      <c r="C35" s="41" t="s">
        <v>25</v>
      </c>
      <c r="D35" s="64" t="s">
        <v>65</v>
      </c>
      <c r="E35" s="41" t="s">
        <v>27</v>
      </c>
      <c r="F35" s="44">
        <f>38.83+7.7</f>
        <v>46.53</v>
      </c>
      <c r="G35" s="45">
        <v>6.91</v>
      </c>
      <c r="H35" s="45">
        <f t="shared" si="0"/>
        <v>8.2200000000000006</v>
      </c>
      <c r="I35" s="45">
        <f t="shared" si="1"/>
        <v>382.47</v>
      </c>
    </row>
    <row r="36" spans="1:11" ht="24" x14ac:dyDescent="0.25">
      <c r="A36" s="61" t="s">
        <v>66</v>
      </c>
      <c r="B36" s="42">
        <v>97645</v>
      </c>
      <c r="C36" s="41" t="s">
        <v>25</v>
      </c>
      <c r="D36" s="63" t="s">
        <v>67</v>
      </c>
      <c r="E36" s="41" t="s">
        <v>27</v>
      </c>
      <c r="F36" s="44">
        <v>5.4</v>
      </c>
      <c r="G36" s="45">
        <v>20.25</v>
      </c>
      <c r="H36" s="45">
        <f t="shared" si="0"/>
        <v>24.1</v>
      </c>
      <c r="I36" s="45">
        <f t="shared" si="1"/>
        <v>130.13999999999999</v>
      </c>
    </row>
    <row r="37" spans="1:11" ht="24" x14ac:dyDescent="0.25">
      <c r="A37" s="61" t="s">
        <v>68</v>
      </c>
      <c r="B37" s="41" t="s">
        <v>69</v>
      </c>
      <c r="C37" s="41" t="s">
        <v>42</v>
      </c>
      <c r="D37" s="43" t="s">
        <v>70</v>
      </c>
      <c r="E37" s="41" t="s">
        <v>27</v>
      </c>
      <c r="F37" s="44">
        <f>10.4+19.44+2.83</f>
        <v>32.67</v>
      </c>
      <c r="G37" s="60">
        <f>Composição!H32</f>
        <v>36.790000000000006</v>
      </c>
      <c r="H37" s="45">
        <f t="shared" si="0"/>
        <v>43.79</v>
      </c>
      <c r="I37" s="45">
        <f t="shared" si="1"/>
        <v>1430.61</v>
      </c>
    </row>
    <row r="38" spans="1:11" x14ac:dyDescent="0.25">
      <c r="A38" s="61" t="s">
        <v>71</v>
      </c>
      <c r="B38" s="41" t="s">
        <v>72</v>
      </c>
      <c r="C38" s="41" t="s">
        <v>42</v>
      </c>
      <c r="D38" s="43" t="s">
        <v>73</v>
      </c>
      <c r="E38" s="61" t="s">
        <v>46</v>
      </c>
      <c r="F38" s="44">
        <v>4</v>
      </c>
      <c r="G38" s="60">
        <f>Composição!H136</f>
        <v>73.52</v>
      </c>
      <c r="H38" s="45">
        <f t="shared" si="0"/>
        <v>87.51</v>
      </c>
      <c r="I38" s="45">
        <f t="shared" si="1"/>
        <v>350.04</v>
      </c>
    </row>
    <row r="39" spans="1:11" ht="24" x14ac:dyDescent="0.25">
      <c r="A39" s="61" t="s">
        <v>74</v>
      </c>
      <c r="B39" s="42" t="s">
        <v>75</v>
      </c>
      <c r="C39" s="41" t="s">
        <v>42</v>
      </c>
      <c r="D39" s="43" t="s">
        <v>76</v>
      </c>
      <c r="E39" s="61" t="s">
        <v>46</v>
      </c>
      <c r="F39" s="44">
        <v>3</v>
      </c>
      <c r="G39" s="60">
        <f>Composição!H593</f>
        <v>102.42179999999999</v>
      </c>
      <c r="H39" s="45">
        <f t="shared" si="0"/>
        <v>121.91</v>
      </c>
      <c r="I39" s="45">
        <f t="shared" si="1"/>
        <v>365.73</v>
      </c>
    </row>
    <row r="40" spans="1:11" x14ac:dyDescent="0.25">
      <c r="A40" s="41"/>
      <c r="B40" s="41"/>
      <c r="C40" s="41"/>
      <c r="D40" s="65" t="s">
        <v>77</v>
      </c>
      <c r="E40" s="41"/>
      <c r="F40" s="66"/>
      <c r="G40" s="60"/>
      <c r="H40" s="45"/>
      <c r="I40" s="45"/>
      <c r="K40" s="18">
        <v>3.9</v>
      </c>
    </row>
    <row r="41" spans="1:11" ht="24" x14ac:dyDescent="0.25">
      <c r="A41" s="61" t="s">
        <v>78</v>
      </c>
      <c r="B41" s="42">
        <v>97622</v>
      </c>
      <c r="C41" s="42" t="s">
        <v>25</v>
      </c>
      <c r="D41" s="63" t="s">
        <v>79</v>
      </c>
      <c r="E41" s="61" t="s">
        <v>37</v>
      </c>
      <c r="F41" s="44">
        <f>27.94</f>
        <v>27.94</v>
      </c>
      <c r="G41" s="45">
        <v>42.76</v>
      </c>
      <c r="H41" s="45">
        <f t="shared" ref="H41:H54" si="2">TRUNC(G41*1.1903,2)</f>
        <v>50.89</v>
      </c>
      <c r="I41" s="45">
        <f t="shared" ref="I41:I54" si="3">TRUNC(F41*H41,2)</f>
        <v>1421.86</v>
      </c>
    </row>
    <row r="42" spans="1:11" ht="24" x14ac:dyDescent="0.25">
      <c r="A42" s="61" t="s">
        <v>80</v>
      </c>
      <c r="B42" s="42">
        <v>97622</v>
      </c>
      <c r="C42" s="42" t="s">
        <v>25</v>
      </c>
      <c r="D42" s="43" t="s">
        <v>36</v>
      </c>
      <c r="E42" s="61" t="s">
        <v>37</v>
      </c>
      <c r="F42" s="44">
        <v>3</v>
      </c>
      <c r="G42" s="45">
        <v>42.76</v>
      </c>
      <c r="H42" s="45">
        <f t="shared" si="2"/>
        <v>50.89</v>
      </c>
      <c r="I42" s="45">
        <f t="shared" si="3"/>
        <v>152.66999999999999</v>
      </c>
    </row>
    <row r="43" spans="1:11" ht="24" x14ac:dyDescent="0.25">
      <c r="A43" s="61" t="s">
        <v>81</v>
      </c>
      <c r="B43" s="42">
        <v>97631</v>
      </c>
      <c r="C43" s="42" t="s">
        <v>25</v>
      </c>
      <c r="D43" s="43" t="s">
        <v>82</v>
      </c>
      <c r="E43" s="61" t="s">
        <v>27</v>
      </c>
      <c r="F43" s="44">
        <f>33.42</f>
        <v>33.42</v>
      </c>
      <c r="G43" s="45">
        <v>2.4900000000000002</v>
      </c>
      <c r="H43" s="45">
        <f t="shared" si="2"/>
        <v>2.96</v>
      </c>
      <c r="I43" s="45">
        <f t="shared" si="3"/>
        <v>98.92</v>
      </c>
    </row>
    <row r="44" spans="1:11" ht="24" x14ac:dyDescent="0.25">
      <c r="A44" s="61" t="s">
        <v>83</v>
      </c>
      <c r="B44" s="42">
        <v>97663</v>
      </c>
      <c r="C44" s="42" t="s">
        <v>25</v>
      </c>
      <c r="D44" s="43" t="s">
        <v>84</v>
      </c>
      <c r="E44" s="61" t="s">
        <v>46</v>
      </c>
      <c r="F44" s="44">
        <f>17</f>
        <v>17</v>
      </c>
      <c r="G44" s="45">
        <v>9.31</v>
      </c>
      <c r="H44" s="45">
        <f t="shared" si="2"/>
        <v>11.08</v>
      </c>
      <c r="I44" s="45">
        <f t="shared" si="3"/>
        <v>188.36</v>
      </c>
    </row>
    <row r="45" spans="1:11" x14ac:dyDescent="0.25">
      <c r="A45" s="61" t="s">
        <v>85</v>
      </c>
      <c r="B45" s="42" t="s">
        <v>86</v>
      </c>
      <c r="C45" s="41" t="s">
        <v>42</v>
      </c>
      <c r="D45" s="43" t="s">
        <v>87</v>
      </c>
      <c r="E45" s="61" t="s">
        <v>60</v>
      </c>
      <c r="F45" s="44">
        <v>3</v>
      </c>
      <c r="G45" s="45">
        <f>Composição!H583</f>
        <v>3.286</v>
      </c>
      <c r="H45" s="45">
        <f t="shared" si="2"/>
        <v>3.91</v>
      </c>
      <c r="I45" s="45">
        <f t="shared" si="3"/>
        <v>11.73</v>
      </c>
    </row>
    <row r="46" spans="1:11" ht="24" x14ac:dyDescent="0.25">
      <c r="A46" s="61" t="s">
        <v>88</v>
      </c>
      <c r="B46" s="42">
        <v>97662</v>
      </c>
      <c r="C46" s="42" t="s">
        <v>25</v>
      </c>
      <c r="D46" s="43" t="s">
        <v>59</v>
      </c>
      <c r="E46" s="61" t="s">
        <v>60</v>
      </c>
      <c r="F46" s="44">
        <v>60</v>
      </c>
      <c r="G46" s="45">
        <v>0.37</v>
      </c>
      <c r="H46" s="45">
        <f t="shared" si="2"/>
        <v>0.44</v>
      </c>
      <c r="I46" s="45">
        <f t="shared" si="3"/>
        <v>26.4</v>
      </c>
    </row>
    <row r="47" spans="1:11" x14ac:dyDescent="0.25">
      <c r="A47" s="61" t="s">
        <v>89</v>
      </c>
      <c r="B47" s="42" t="s">
        <v>41</v>
      </c>
      <c r="C47" s="41" t="s">
        <v>42</v>
      </c>
      <c r="D47" s="43" t="s">
        <v>43</v>
      </c>
      <c r="E47" s="61" t="s">
        <v>27</v>
      </c>
      <c r="F47" s="44">
        <f>18.15</f>
        <v>18.149999999999999</v>
      </c>
      <c r="G47" s="45">
        <f>Composição!H575</f>
        <v>16.43</v>
      </c>
      <c r="H47" s="45">
        <f t="shared" si="2"/>
        <v>19.55</v>
      </c>
      <c r="I47" s="45">
        <f t="shared" si="3"/>
        <v>354.83</v>
      </c>
    </row>
    <row r="48" spans="1:11" x14ac:dyDescent="0.25">
      <c r="A48" s="61" t="s">
        <v>90</v>
      </c>
      <c r="B48" s="42" t="s">
        <v>62</v>
      </c>
      <c r="C48" s="41" t="s">
        <v>42</v>
      </c>
      <c r="D48" s="43" t="s">
        <v>91</v>
      </c>
      <c r="E48" s="61" t="s">
        <v>27</v>
      </c>
      <c r="F48" s="44">
        <f>31.52+284.79</f>
        <v>316.31</v>
      </c>
      <c r="G48" s="45">
        <f>Composição!H579</f>
        <v>24.645</v>
      </c>
      <c r="H48" s="45">
        <f t="shared" si="2"/>
        <v>29.33</v>
      </c>
      <c r="I48" s="45">
        <f t="shared" si="3"/>
        <v>9277.3700000000008</v>
      </c>
    </row>
    <row r="49" spans="1:9" ht="24" x14ac:dyDescent="0.25">
      <c r="A49" s="61" t="s">
        <v>92</v>
      </c>
      <c r="B49" s="42">
        <v>97644</v>
      </c>
      <c r="C49" s="41" t="s">
        <v>25</v>
      </c>
      <c r="D49" s="64" t="s">
        <v>65</v>
      </c>
      <c r="E49" s="41" t="s">
        <v>27</v>
      </c>
      <c r="F49" s="44">
        <v>71.94</v>
      </c>
      <c r="G49" s="45">
        <v>6.91</v>
      </c>
      <c r="H49" s="45">
        <f t="shared" si="2"/>
        <v>8.2200000000000006</v>
      </c>
      <c r="I49" s="45">
        <f t="shared" si="3"/>
        <v>591.34</v>
      </c>
    </row>
    <row r="50" spans="1:9" ht="24" x14ac:dyDescent="0.25">
      <c r="A50" s="61" t="s">
        <v>93</v>
      </c>
      <c r="B50" s="42">
        <v>97645</v>
      </c>
      <c r="C50" s="41" t="s">
        <v>25</v>
      </c>
      <c r="D50" s="63" t="s">
        <v>67</v>
      </c>
      <c r="E50" s="41" t="s">
        <v>27</v>
      </c>
      <c r="F50" s="44">
        <v>1.44</v>
      </c>
      <c r="G50" s="62">
        <v>20.25</v>
      </c>
      <c r="H50" s="45">
        <f t="shared" si="2"/>
        <v>24.1</v>
      </c>
      <c r="I50" s="45">
        <f t="shared" si="3"/>
        <v>34.700000000000003</v>
      </c>
    </row>
    <row r="51" spans="1:9" x14ac:dyDescent="0.25">
      <c r="A51" s="61" t="s">
        <v>94</v>
      </c>
      <c r="B51" s="41" t="s">
        <v>69</v>
      </c>
      <c r="C51" s="41" t="s">
        <v>42</v>
      </c>
      <c r="D51" s="43" t="s">
        <v>95</v>
      </c>
      <c r="E51" s="41" t="s">
        <v>27</v>
      </c>
      <c r="F51" s="44">
        <v>10.4</v>
      </c>
      <c r="G51" s="60">
        <f>Composição!H32</f>
        <v>36.790000000000006</v>
      </c>
      <c r="H51" s="45">
        <f t="shared" si="2"/>
        <v>43.79</v>
      </c>
      <c r="I51" s="45">
        <f t="shared" si="3"/>
        <v>455.41</v>
      </c>
    </row>
    <row r="52" spans="1:9" ht="24" x14ac:dyDescent="0.25">
      <c r="A52" s="61" t="s">
        <v>96</v>
      </c>
      <c r="B52" s="42">
        <v>97631</v>
      </c>
      <c r="C52" s="41" t="s">
        <v>25</v>
      </c>
      <c r="D52" s="43" t="s">
        <v>82</v>
      </c>
      <c r="E52" s="41" t="s">
        <v>27</v>
      </c>
      <c r="F52" s="44">
        <v>44.03</v>
      </c>
      <c r="G52" s="45">
        <v>2.4900000000000002</v>
      </c>
      <c r="H52" s="45">
        <f t="shared" si="2"/>
        <v>2.96</v>
      </c>
      <c r="I52" s="45">
        <f t="shared" si="3"/>
        <v>130.32</v>
      </c>
    </row>
    <row r="53" spans="1:9" ht="24" x14ac:dyDescent="0.25">
      <c r="A53" s="61" t="s">
        <v>97</v>
      </c>
      <c r="B53" s="42">
        <v>97633</v>
      </c>
      <c r="C53" s="42" t="s">
        <v>25</v>
      </c>
      <c r="D53" s="43" t="s">
        <v>39</v>
      </c>
      <c r="E53" s="61" t="s">
        <v>27</v>
      </c>
      <c r="F53" s="44">
        <f>139.75</f>
        <v>139.75</v>
      </c>
      <c r="G53" s="45">
        <v>16.98</v>
      </c>
      <c r="H53" s="45">
        <f t="shared" si="2"/>
        <v>20.21</v>
      </c>
      <c r="I53" s="45">
        <f t="shared" si="3"/>
        <v>2824.34</v>
      </c>
    </row>
    <row r="54" spans="1:9" ht="24" x14ac:dyDescent="0.25">
      <c r="A54" s="61" t="s">
        <v>98</v>
      </c>
      <c r="B54" s="42" t="s">
        <v>53</v>
      </c>
      <c r="C54" s="41" t="s">
        <v>42</v>
      </c>
      <c r="D54" s="43" t="s">
        <v>54</v>
      </c>
      <c r="E54" s="61" t="s">
        <v>46</v>
      </c>
      <c r="F54" s="44">
        <v>16</v>
      </c>
      <c r="G54" s="62">
        <f>Composição!H566</f>
        <v>10.953880999999999</v>
      </c>
      <c r="H54" s="45">
        <f t="shared" si="2"/>
        <v>13.03</v>
      </c>
      <c r="I54" s="45">
        <f t="shared" si="3"/>
        <v>208.48</v>
      </c>
    </row>
    <row r="55" spans="1:9" x14ac:dyDescent="0.25">
      <c r="A55" s="61"/>
      <c r="B55" s="41"/>
      <c r="C55" s="41"/>
      <c r="D55" s="59" t="s">
        <v>99</v>
      </c>
      <c r="E55" s="41"/>
      <c r="F55" s="66"/>
      <c r="G55" s="60"/>
      <c r="H55" s="45"/>
      <c r="I55" s="45"/>
    </row>
    <row r="56" spans="1:9" ht="24" x14ac:dyDescent="0.25">
      <c r="A56" s="61" t="s">
        <v>100</v>
      </c>
      <c r="B56" s="42">
        <v>97644</v>
      </c>
      <c r="C56" s="41" t="s">
        <v>25</v>
      </c>
      <c r="D56" s="43" t="s">
        <v>65</v>
      </c>
      <c r="E56" s="41" t="s">
        <v>27</v>
      </c>
      <c r="F56" s="44">
        <f>1.68*2</f>
        <v>3.36</v>
      </c>
      <c r="G56" s="60">
        <v>6.91</v>
      </c>
      <c r="H56" s="45">
        <f>TRUNC(G56*1.1903,2)</f>
        <v>8.2200000000000006</v>
      </c>
      <c r="I56" s="45">
        <f>TRUNC(F56*H56,2)</f>
        <v>27.61</v>
      </c>
    </row>
    <row r="57" spans="1:9" ht="24" x14ac:dyDescent="0.25">
      <c r="A57" s="61" t="s">
        <v>101</v>
      </c>
      <c r="B57" s="42">
        <v>97622</v>
      </c>
      <c r="C57" s="42" t="s">
        <v>25</v>
      </c>
      <c r="D57" s="43" t="s">
        <v>79</v>
      </c>
      <c r="E57" s="61" t="s">
        <v>37</v>
      </c>
      <c r="F57" s="44">
        <v>5.84</v>
      </c>
      <c r="G57" s="45">
        <v>42.76</v>
      </c>
      <c r="H57" s="45">
        <f>TRUNC(G57*1.1903,2)</f>
        <v>50.89</v>
      </c>
      <c r="I57" s="45">
        <f>TRUNC(F57*H57,2)</f>
        <v>297.19</v>
      </c>
    </row>
    <row r="58" spans="1:9" x14ac:dyDescent="0.25">
      <c r="A58" s="46"/>
      <c r="B58" s="47"/>
      <c r="C58" s="48"/>
      <c r="D58" s="49" t="s">
        <v>102</v>
      </c>
      <c r="E58" s="50" t="s">
        <v>31</v>
      </c>
      <c r="F58" s="67"/>
      <c r="G58" s="52"/>
      <c r="H58" s="52"/>
      <c r="I58" s="53">
        <f>SUM(I25:I57)</f>
        <v>22075.51</v>
      </c>
    </row>
    <row r="59" spans="1:9" x14ac:dyDescent="0.25">
      <c r="A59" s="68" t="s">
        <v>103</v>
      </c>
      <c r="B59" s="69"/>
      <c r="C59" s="69"/>
      <c r="D59" s="39" t="s">
        <v>104</v>
      </c>
      <c r="E59" s="69"/>
      <c r="F59" s="70"/>
      <c r="G59" s="71"/>
      <c r="H59" s="71"/>
      <c r="I59" s="71"/>
    </row>
    <row r="60" spans="1:9" x14ac:dyDescent="0.25">
      <c r="A60" s="41"/>
      <c r="B60" s="58"/>
      <c r="C60" s="58"/>
      <c r="D60" s="72" t="s">
        <v>34</v>
      </c>
      <c r="E60" s="58"/>
      <c r="F60" s="66"/>
      <c r="G60" s="60"/>
      <c r="H60" s="60"/>
      <c r="I60" s="60"/>
    </row>
    <row r="61" spans="1:9" x14ac:dyDescent="0.25">
      <c r="A61" s="41" t="s">
        <v>105</v>
      </c>
      <c r="B61" s="42">
        <v>96995</v>
      </c>
      <c r="C61" s="61" t="s">
        <v>25</v>
      </c>
      <c r="D61" s="43" t="s">
        <v>106</v>
      </c>
      <c r="E61" s="61" t="s">
        <v>37</v>
      </c>
      <c r="F61" s="44">
        <v>7.65</v>
      </c>
      <c r="G61" s="45">
        <v>39.4</v>
      </c>
      <c r="H61" s="45">
        <f>TRUNC(G61*1.1903,2)</f>
        <v>46.89</v>
      </c>
      <c r="I61" s="45">
        <f>TRUNC(F61*H61,2)</f>
        <v>358.7</v>
      </c>
    </row>
    <row r="62" spans="1:9" ht="60" x14ac:dyDescent="0.25">
      <c r="A62" s="41" t="s">
        <v>107</v>
      </c>
      <c r="B62" s="61">
        <v>89903</v>
      </c>
      <c r="C62" s="61" t="s">
        <v>25</v>
      </c>
      <c r="D62" s="43" t="s">
        <v>108</v>
      </c>
      <c r="E62" s="61" t="s">
        <v>37</v>
      </c>
      <c r="F62" s="44">
        <f>F61*1.3</f>
        <v>9.9450000000000003</v>
      </c>
      <c r="G62" s="45">
        <v>7.07</v>
      </c>
      <c r="H62" s="45">
        <f>TRUNC(G62*1.1903,2)</f>
        <v>8.41</v>
      </c>
      <c r="I62" s="45">
        <f>TRUNC(F62*H62,2)</f>
        <v>83.63</v>
      </c>
    </row>
    <row r="63" spans="1:9" ht="24" x14ac:dyDescent="0.25">
      <c r="A63" s="41" t="s">
        <v>109</v>
      </c>
      <c r="B63" s="61">
        <v>93358</v>
      </c>
      <c r="C63" s="42" t="s">
        <v>25</v>
      </c>
      <c r="D63" s="43" t="s">
        <v>110</v>
      </c>
      <c r="E63" s="61" t="s">
        <v>37</v>
      </c>
      <c r="F63" s="44">
        <f>0.53+0.53</f>
        <v>1.06</v>
      </c>
      <c r="G63" s="45">
        <v>64.989999999999995</v>
      </c>
      <c r="H63" s="45">
        <f>TRUNC(G63*1.1903,2)</f>
        <v>77.349999999999994</v>
      </c>
      <c r="I63" s="45">
        <f>TRUNC(F63*H63,2)</f>
        <v>81.99</v>
      </c>
    </row>
    <row r="64" spans="1:9" ht="24" x14ac:dyDescent="0.25">
      <c r="A64" s="41" t="s">
        <v>111</v>
      </c>
      <c r="B64" s="41">
        <v>96522</v>
      </c>
      <c r="C64" s="61" t="s">
        <v>25</v>
      </c>
      <c r="D64" s="73" t="s">
        <v>112</v>
      </c>
      <c r="E64" s="41" t="s">
        <v>37</v>
      </c>
      <c r="F64" s="44">
        <f>1.76+0.09</f>
        <v>1.85</v>
      </c>
      <c r="G64" s="45">
        <v>116.12</v>
      </c>
      <c r="H64" s="45">
        <f>TRUNC(G64*1.1903,2)</f>
        <v>138.21</v>
      </c>
      <c r="I64" s="45">
        <f>TRUNC(F64*H64,2)</f>
        <v>255.68</v>
      </c>
    </row>
    <row r="65" spans="1:9" x14ac:dyDescent="0.25">
      <c r="A65" s="41"/>
      <c r="B65" s="58"/>
      <c r="C65" s="58"/>
      <c r="D65" s="72" t="s">
        <v>113</v>
      </c>
      <c r="E65" s="58"/>
      <c r="F65" s="66"/>
      <c r="G65" s="60"/>
      <c r="H65" s="60"/>
      <c r="I65" s="60"/>
    </row>
    <row r="66" spans="1:9" x14ac:dyDescent="0.25">
      <c r="A66" s="41" t="s">
        <v>114</v>
      </c>
      <c r="B66" s="42">
        <v>96995</v>
      </c>
      <c r="C66" s="61" t="s">
        <v>25</v>
      </c>
      <c r="D66" s="43" t="s">
        <v>106</v>
      </c>
      <c r="E66" s="61" t="s">
        <v>37</v>
      </c>
      <c r="F66" s="44">
        <v>4.4400000000000004</v>
      </c>
      <c r="G66" s="45">
        <v>39.4</v>
      </c>
      <c r="H66" s="45">
        <f>TRUNC(G66*1.1903,2)</f>
        <v>46.89</v>
      </c>
      <c r="I66" s="45">
        <f>TRUNC(F66*H66,2)</f>
        <v>208.19</v>
      </c>
    </row>
    <row r="67" spans="1:9" ht="60" x14ac:dyDescent="0.25">
      <c r="A67" s="41" t="s">
        <v>115</v>
      </c>
      <c r="B67" s="61">
        <v>89903</v>
      </c>
      <c r="C67" s="61" t="s">
        <v>25</v>
      </c>
      <c r="D67" s="43" t="s">
        <v>108</v>
      </c>
      <c r="E67" s="61" t="s">
        <v>37</v>
      </c>
      <c r="F67" s="44">
        <f>F66*1.3</f>
        <v>5.7720000000000011</v>
      </c>
      <c r="G67" s="45">
        <v>7.07</v>
      </c>
      <c r="H67" s="45">
        <f>TRUNC(G67*1.1903,2)</f>
        <v>8.41</v>
      </c>
      <c r="I67" s="45">
        <f>TRUNC(F67*H67,2)</f>
        <v>48.54</v>
      </c>
    </row>
    <row r="68" spans="1:9" ht="24" x14ac:dyDescent="0.25">
      <c r="A68" s="41" t="s">
        <v>116</v>
      </c>
      <c r="B68" s="61">
        <v>93358</v>
      </c>
      <c r="C68" s="42" t="s">
        <v>25</v>
      </c>
      <c r="D68" s="43" t="s">
        <v>110</v>
      </c>
      <c r="E68" s="61" t="s">
        <v>37</v>
      </c>
      <c r="F68" s="44">
        <f>1.3+0.65</f>
        <v>1.9500000000000002</v>
      </c>
      <c r="G68" s="45">
        <v>64.989999999999995</v>
      </c>
      <c r="H68" s="45">
        <f>TRUNC(G68*1.1903,2)</f>
        <v>77.349999999999994</v>
      </c>
      <c r="I68" s="45">
        <f>TRUNC(F68*H68,2)</f>
        <v>150.83000000000001</v>
      </c>
    </row>
    <row r="69" spans="1:9" ht="24" x14ac:dyDescent="0.25">
      <c r="A69" s="41" t="s">
        <v>117</v>
      </c>
      <c r="B69" s="41">
        <v>96522</v>
      </c>
      <c r="C69" s="61" t="s">
        <v>25</v>
      </c>
      <c r="D69" s="73" t="s">
        <v>112</v>
      </c>
      <c r="E69" s="41" t="s">
        <v>37</v>
      </c>
      <c r="F69" s="44">
        <v>5.7</v>
      </c>
      <c r="G69" s="45">
        <v>116.12</v>
      </c>
      <c r="H69" s="45">
        <f>TRUNC(G69*1.1903,2)</f>
        <v>138.21</v>
      </c>
      <c r="I69" s="45">
        <f>TRUNC(F69*H69,2)</f>
        <v>787.79</v>
      </c>
    </row>
    <row r="70" spans="1:9" x14ac:dyDescent="0.25">
      <c r="A70" s="46"/>
      <c r="B70" s="47"/>
      <c r="C70" s="48"/>
      <c r="D70" s="49" t="s">
        <v>118</v>
      </c>
      <c r="E70" s="50" t="s">
        <v>31</v>
      </c>
      <c r="F70" s="67"/>
      <c r="G70" s="52"/>
      <c r="H70" s="52"/>
      <c r="I70" s="53">
        <f>SUM(I61:I69)</f>
        <v>1975.35</v>
      </c>
    </row>
    <row r="71" spans="1:9" x14ac:dyDescent="0.25">
      <c r="A71" s="68" t="s">
        <v>119</v>
      </c>
      <c r="B71" s="69"/>
      <c r="C71" s="69"/>
      <c r="D71" s="39" t="s">
        <v>120</v>
      </c>
      <c r="E71" s="69"/>
      <c r="F71" s="70"/>
      <c r="G71" s="71"/>
      <c r="H71" s="71"/>
      <c r="I71" s="71"/>
    </row>
    <row r="72" spans="1:9" x14ac:dyDescent="0.25">
      <c r="A72" s="41"/>
      <c r="B72" s="61"/>
      <c r="C72" s="42"/>
      <c r="D72" s="74" t="s">
        <v>121</v>
      </c>
      <c r="E72" s="61"/>
      <c r="F72" s="45"/>
      <c r="G72" s="45"/>
      <c r="H72" s="45"/>
      <c r="I72" s="45"/>
    </row>
    <row r="73" spans="1:9" x14ac:dyDescent="0.25">
      <c r="A73" s="41"/>
      <c r="B73" s="61"/>
      <c r="C73" s="42"/>
      <c r="D73" s="74" t="s">
        <v>122</v>
      </c>
      <c r="E73" s="61"/>
      <c r="F73" s="44"/>
      <c r="G73" s="45"/>
      <c r="H73" s="45"/>
      <c r="I73" s="45"/>
    </row>
    <row r="74" spans="1:9" ht="36" x14ac:dyDescent="0.25">
      <c r="A74" s="41" t="s">
        <v>123</v>
      </c>
      <c r="B74" s="61">
        <v>92775</v>
      </c>
      <c r="C74" s="41" t="s">
        <v>25</v>
      </c>
      <c r="D74" s="73" t="s">
        <v>124</v>
      </c>
      <c r="E74" s="61" t="s">
        <v>125</v>
      </c>
      <c r="F74" s="44">
        <v>11.22</v>
      </c>
      <c r="G74" s="45">
        <v>12.57</v>
      </c>
      <c r="H74" s="45">
        <f t="shared" ref="H74:H82" si="4">TRUNC(G74*1.1903,2)</f>
        <v>14.96</v>
      </c>
      <c r="I74" s="45">
        <f t="shared" ref="I74:I82" si="5">TRUNC(F74*H74,2)</f>
        <v>167.85</v>
      </c>
    </row>
    <row r="75" spans="1:9" ht="36" x14ac:dyDescent="0.25">
      <c r="A75" s="41" t="s">
        <v>126</v>
      </c>
      <c r="B75" s="61">
        <v>92777</v>
      </c>
      <c r="C75" s="42" t="s">
        <v>25</v>
      </c>
      <c r="D75" s="73" t="s">
        <v>127</v>
      </c>
      <c r="E75" s="61" t="s">
        <v>125</v>
      </c>
      <c r="F75" s="44">
        <v>28.4</v>
      </c>
      <c r="G75" s="45">
        <v>10.33</v>
      </c>
      <c r="H75" s="45">
        <f t="shared" si="4"/>
        <v>12.29</v>
      </c>
      <c r="I75" s="45">
        <f t="shared" si="5"/>
        <v>349.03</v>
      </c>
    </row>
    <row r="76" spans="1:9" ht="36" x14ac:dyDescent="0.25">
      <c r="A76" s="41" t="s">
        <v>128</v>
      </c>
      <c r="B76" s="61">
        <v>92778</v>
      </c>
      <c r="C76" s="42" t="s">
        <v>25</v>
      </c>
      <c r="D76" s="73" t="s">
        <v>129</v>
      </c>
      <c r="E76" s="61" t="s">
        <v>125</v>
      </c>
      <c r="F76" s="44">
        <v>39.700000000000003</v>
      </c>
      <c r="G76" s="45">
        <v>8.3800000000000008</v>
      </c>
      <c r="H76" s="45">
        <f t="shared" si="4"/>
        <v>9.9700000000000006</v>
      </c>
      <c r="I76" s="45">
        <f t="shared" si="5"/>
        <v>395.8</v>
      </c>
    </row>
    <row r="77" spans="1:9" ht="48" x14ac:dyDescent="0.25">
      <c r="A77" s="41" t="s">
        <v>130</v>
      </c>
      <c r="B77" s="61">
        <v>92415</v>
      </c>
      <c r="C77" s="42" t="s">
        <v>25</v>
      </c>
      <c r="D77" s="73" t="s">
        <v>131</v>
      </c>
      <c r="E77" s="61" t="s">
        <v>27</v>
      </c>
      <c r="F77" s="44">
        <v>4</v>
      </c>
      <c r="G77" s="45">
        <v>87.93</v>
      </c>
      <c r="H77" s="45">
        <f t="shared" si="4"/>
        <v>104.66</v>
      </c>
      <c r="I77" s="45">
        <f t="shared" si="5"/>
        <v>418.64</v>
      </c>
    </row>
    <row r="78" spans="1:9" ht="36" x14ac:dyDescent="0.25">
      <c r="A78" s="41" t="s">
        <v>132</v>
      </c>
      <c r="B78" s="61">
        <v>92447</v>
      </c>
      <c r="C78" s="42" t="s">
        <v>25</v>
      </c>
      <c r="D78" s="73" t="s">
        <v>133</v>
      </c>
      <c r="E78" s="61" t="s">
        <v>27</v>
      </c>
      <c r="F78" s="44">
        <f>4.1+4.7</f>
        <v>8.8000000000000007</v>
      </c>
      <c r="G78" s="45">
        <v>96.06</v>
      </c>
      <c r="H78" s="45">
        <f t="shared" si="4"/>
        <v>114.34</v>
      </c>
      <c r="I78" s="45">
        <f t="shared" si="5"/>
        <v>1006.19</v>
      </c>
    </row>
    <row r="79" spans="1:9" ht="24" x14ac:dyDescent="0.25">
      <c r="A79" s="41" t="s">
        <v>134</v>
      </c>
      <c r="B79" s="61">
        <v>94962</v>
      </c>
      <c r="C79" s="42" t="s">
        <v>25</v>
      </c>
      <c r="D79" s="73" t="s">
        <v>135</v>
      </c>
      <c r="E79" s="61" t="s">
        <v>37</v>
      </c>
      <c r="F79" s="44">
        <v>0.08</v>
      </c>
      <c r="G79" s="45">
        <v>272.3</v>
      </c>
      <c r="H79" s="45">
        <f t="shared" si="4"/>
        <v>324.11</v>
      </c>
      <c r="I79" s="45">
        <f t="shared" si="5"/>
        <v>25.92</v>
      </c>
    </row>
    <row r="80" spans="1:9" ht="24" x14ac:dyDescent="0.25">
      <c r="A80" s="41" t="s">
        <v>136</v>
      </c>
      <c r="B80" s="61">
        <v>94971</v>
      </c>
      <c r="C80" s="42" t="s">
        <v>25</v>
      </c>
      <c r="D80" s="73" t="s">
        <v>137</v>
      </c>
      <c r="E80" s="61" t="s">
        <v>37</v>
      </c>
      <c r="F80" s="44">
        <f>0.35+0.3+0.36+0.1</f>
        <v>1.1099999999999999</v>
      </c>
      <c r="G80" s="45">
        <v>340.61</v>
      </c>
      <c r="H80" s="45">
        <f t="shared" si="4"/>
        <v>405.42</v>
      </c>
      <c r="I80" s="45">
        <f t="shared" si="5"/>
        <v>450.01</v>
      </c>
    </row>
    <row r="81" spans="1:9" ht="24" x14ac:dyDescent="0.25">
      <c r="A81" s="41" t="s">
        <v>138</v>
      </c>
      <c r="B81" s="61">
        <v>92873</v>
      </c>
      <c r="C81" s="42" t="s">
        <v>25</v>
      </c>
      <c r="D81" s="73" t="s">
        <v>139</v>
      </c>
      <c r="E81" s="61" t="s">
        <v>37</v>
      </c>
      <c r="F81" s="44">
        <f>0.35+0.3+0.36+0.1</f>
        <v>1.1099999999999999</v>
      </c>
      <c r="G81" s="45">
        <v>166.95</v>
      </c>
      <c r="H81" s="45">
        <f t="shared" si="4"/>
        <v>198.72</v>
      </c>
      <c r="I81" s="45">
        <f t="shared" si="5"/>
        <v>220.57</v>
      </c>
    </row>
    <row r="82" spans="1:9" ht="36" x14ac:dyDescent="0.25">
      <c r="A82" s="41" t="s">
        <v>140</v>
      </c>
      <c r="B82" s="61" t="s">
        <v>141</v>
      </c>
      <c r="C82" s="42" t="s">
        <v>25</v>
      </c>
      <c r="D82" s="73" t="s">
        <v>142</v>
      </c>
      <c r="E82" s="61" t="s">
        <v>27</v>
      </c>
      <c r="F82" s="44">
        <f>1.85*2.15</f>
        <v>3.9775</v>
      </c>
      <c r="G82" s="45">
        <v>84.74</v>
      </c>
      <c r="H82" s="45">
        <f t="shared" si="4"/>
        <v>100.86</v>
      </c>
      <c r="I82" s="45">
        <f t="shared" si="5"/>
        <v>401.17</v>
      </c>
    </row>
    <row r="83" spans="1:9" x14ac:dyDescent="0.25">
      <c r="A83" s="41"/>
      <c r="B83" s="61"/>
      <c r="C83" s="42"/>
      <c r="D83" s="74" t="s">
        <v>143</v>
      </c>
      <c r="E83" s="61"/>
      <c r="F83" s="44"/>
      <c r="G83" s="45"/>
      <c r="H83" s="45"/>
      <c r="I83" s="45"/>
    </row>
    <row r="84" spans="1:9" ht="36" x14ac:dyDescent="0.25">
      <c r="A84" s="41" t="s">
        <v>144</v>
      </c>
      <c r="B84" s="61">
        <v>92775</v>
      </c>
      <c r="C84" s="41" t="s">
        <v>25</v>
      </c>
      <c r="D84" s="73" t="s">
        <v>124</v>
      </c>
      <c r="E84" s="61" t="s">
        <v>125</v>
      </c>
      <c r="F84" s="44">
        <v>38</v>
      </c>
      <c r="G84" s="45">
        <v>12.57</v>
      </c>
      <c r="H84" s="45">
        <f>TRUNC(G84*1.1903,2)</f>
        <v>14.96</v>
      </c>
      <c r="I84" s="45">
        <f>TRUNC(F84*H84,2)</f>
        <v>568.48</v>
      </c>
    </row>
    <row r="85" spans="1:9" ht="36" x14ac:dyDescent="0.25">
      <c r="A85" s="41" t="s">
        <v>145</v>
      </c>
      <c r="B85" s="61">
        <v>92778</v>
      </c>
      <c r="C85" s="42" t="s">
        <v>25</v>
      </c>
      <c r="D85" s="73" t="s">
        <v>129</v>
      </c>
      <c r="E85" s="61" t="s">
        <v>125</v>
      </c>
      <c r="F85" s="44">
        <v>22</v>
      </c>
      <c r="G85" s="45">
        <v>8.3800000000000008</v>
      </c>
      <c r="H85" s="45">
        <f>TRUNC(G85*1.1903,2)</f>
        <v>9.9700000000000006</v>
      </c>
      <c r="I85" s="45">
        <f>TRUNC(F85*H85,2)</f>
        <v>219.34</v>
      </c>
    </row>
    <row r="86" spans="1:9" ht="36" x14ac:dyDescent="0.25">
      <c r="A86" s="41" t="s">
        <v>146</v>
      </c>
      <c r="B86" s="61">
        <v>92447</v>
      </c>
      <c r="C86" s="42" t="s">
        <v>25</v>
      </c>
      <c r="D86" s="73" t="s">
        <v>133</v>
      </c>
      <c r="E86" s="61" t="s">
        <v>27</v>
      </c>
      <c r="F86" s="44">
        <v>2.1</v>
      </c>
      <c r="G86" s="45">
        <v>96.06</v>
      </c>
      <c r="H86" s="45">
        <f>TRUNC(G86*1.1903,2)</f>
        <v>114.34</v>
      </c>
      <c r="I86" s="45">
        <f>TRUNC(F86*H86,2)</f>
        <v>240.11</v>
      </c>
    </row>
    <row r="87" spans="1:9" ht="24" x14ac:dyDescent="0.25">
      <c r="A87" s="41" t="s">
        <v>147</v>
      </c>
      <c r="B87" s="61">
        <v>94971</v>
      </c>
      <c r="C87" s="42" t="s">
        <v>25</v>
      </c>
      <c r="D87" s="73" t="s">
        <v>148</v>
      </c>
      <c r="E87" s="61" t="s">
        <v>37</v>
      </c>
      <c r="F87" s="44">
        <v>1.1200000000000001</v>
      </c>
      <c r="G87" s="45">
        <v>340.61</v>
      </c>
      <c r="H87" s="45">
        <f>TRUNC(G87*1.1903,2)</f>
        <v>405.42</v>
      </c>
      <c r="I87" s="45">
        <f>TRUNC(F87*H87,2)</f>
        <v>454.07</v>
      </c>
    </row>
    <row r="88" spans="1:9" ht="24" x14ac:dyDescent="0.25">
      <c r="A88" s="41" t="s">
        <v>149</v>
      </c>
      <c r="B88" s="61">
        <v>92873</v>
      </c>
      <c r="C88" s="42" t="s">
        <v>25</v>
      </c>
      <c r="D88" s="73" t="s">
        <v>139</v>
      </c>
      <c r="E88" s="61" t="s">
        <v>37</v>
      </c>
      <c r="F88" s="44">
        <v>1.1200000000000001</v>
      </c>
      <c r="G88" s="45">
        <v>166.95</v>
      </c>
      <c r="H88" s="45">
        <f>TRUNC(G88*1.1903,2)</f>
        <v>198.72</v>
      </c>
      <c r="I88" s="45">
        <f>TRUNC(F88*H88,2)</f>
        <v>222.56</v>
      </c>
    </row>
    <row r="89" spans="1:9" x14ac:dyDescent="0.25">
      <c r="A89" s="41"/>
      <c r="B89" s="61"/>
      <c r="C89" s="42"/>
      <c r="D89" s="74" t="s">
        <v>150</v>
      </c>
      <c r="E89" s="61"/>
      <c r="F89" s="44"/>
      <c r="G89" s="45"/>
      <c r="H89" s="45"/>
      <c r="I89" s="45"/>
    </row>
    <row r="90" spans="1:9" x14ac:dyDescent="0.25">
      <c r="A90" s="41"/>
      <c r="B90" s="61"/>
      <c r="C90" s="42"/>
      <c r="D90" s="74" t="s">
        <v>151</v>
      </c>
      <c r="E90" s="61"/>
      <c r="F90" s="44"/>
      <c r="G90" s="45"/>
      <c r="H90" s="45"/>
      <c r="I90" s="45"/>
    </row>
    <row r="91" spans="1:9" ht="36" x14ac:dyDescent="0.25">
      <c r="A91" s="41" t="s">
        <v>152</v>
      </c>
      <c r="B91" s="61">
        <v>92775</v>
      </c>
      <c r="C91" s="41" t="s">
        <v>25</v>
      </c>
      <c r="D91" s="73" t="s">
        <v>124</v>
      </c>
      <c r="E91" s="61" t="s">
        <v>125</v>
      </c>
      <c r="F91" s="44">
        <v>52.57</v>
      </c>
      <c r="G91" s="45">
        <v>12.57</v>
      </c>
      <c r="H91" s="45">
        <f t="shared" ref="H91:H100" si="6">TRUNC(G91*1.1903,2)</f>
        <v>14.96</v>
      </c>
      <c r="I91" s="45">
        <f t="shared" ref="I91:I100" si="7">TRUNC(F91*H91,2)</f>
        <v>786.44</v>
      </c>
    </row>
    <row r="92" spans="1:9" ht="36" x14ac:dyDescent="0.25">
      <c r="A92" s="41" t="s">
        <v>153</v>
      </c>
      <c r="B92" s="61">
        <v>92777</v>
      </c>
      <c r="C92" s="42" t="s">
        <v>25</v>
      </c>
      <c r="D92" s="73" t="s">
        <v>127</v>
      </c>
      <c r="E92" s="61" t="s">
        <v>125</v>
      </c>
      <c r="F92" s="44">
        <v>28.91</v>
      </c>
      <c r="G92" s="45">
        <v>10.33</v>
      </c>
      <c r="H92" s="45">
        <f t="shared" si="6"/>
        <v>12.29</v>
      </c>
      <c r="I92" s="45">
        <f t="shared" si="7"/>
        <v>355.3</v>
      </c>
    </row>
    <row r="93" spans="1:9" ht="36" x14ac:dyDescent="0.25">
      <c r="A93" s="41" t="s">
        <v>154</v>
      </c>
      <c r="B93" s="61">
        <v>92778</v>
      </c>
      <c r="C93" s="42" t="s">
        <v>25</v>
      </c>
      <c r="D93" s="73" t="s">
        <v>129</v>
      </c>
      <c r="E93" s="61" t="s">
        <v>125</v>
      </c>
      <c r="F93" s="44">
        <v>93.86</v>
      </c>
      <c r="G93" s="45">
        <v>8.3800000000000008</v>
      </c>
      <c r="H93" s="45">
        <f t="shared" si="6"/>
        <v>9.9700000000000006</v>
      </c>
      <c r="I93" s="45">
        <f t="shared" si="7"/>
        <v>935.78</v>
      </c>
    </row>
    <row r="94" spans="1:9" ht="24" x14ac:dyDescent="0.25">
      <c r="A94" s="41" t="s">
        <v>155</v>
      </c>
      <c r="B94" s="42">
        <v>97086</v>
      </c>
      <c r="C94" s="42" t="s">
        <v>25</v>
      </c>
      <c r="D94" s="75" t="s">
        <v>156</v>
      </c>
      <c r="E94" s="61" t="s">
        <v>27</v>
      </c>
      <c r="F94" s="44">
        <v>8.1999999999999993</v>
      </c>
      <c r="G94" s="62">
        <v>82.9</v>
      </c>
      <c r="H94" s="45">
        <f t="shared" si="6"/>
        <v>98.67</v>
      </c>
      <c r="I94" s="45">
        <f t="shared" si="7"/>
        <v>809.09</v>
      </c>
    </row>
    <row r="95" spans="1:9" ht="48" x14ac:dyDescent="0.25">
      <c r="A95" s="41" t="s">
        <v>157</v>
      </c>
      <c r="B95" s="61">
        <v>92415</v>
      </c>
      <c r="C95" s="42" t="s">
        <v>25</v>
      </c>
      <c r="D95" s="73" t="s">
        <v>131</v>
      </c>
      <c r="E95" s="61" t="s">
        <v>27</v>
      </c>
      <c r="F95" s="44">
        <v>7.4</v>
      </c>
      <c r="G95" s="45">
        <v>87.93</v>
      </c>
      <c r="H95" s="45">
        <f t="shared" si="6"/>
        <v>104.66</v>
      </c>
      <c r="I95" s="45">
        <f t="shared" si="7"/>
        <v>774.48</v>
      </c>
    </row>
    <row r="96" spans="1:9" ht="36" x14ac:dyDescent="0.25">
      <c r="A96" s="41" t="s">
        <v>158</v>
      </c>
      <c r="B96" s="61">
        <v>92447</v>
      </c>
      <c r="C96" s="42" t="s">
        <v>25</v>
      </c>
      <c r="D96" s="73" t="s">
        <v>133</v>
      </c>
      <c r="E96" s="61" t="s">
        <v>27</v>
      </c>
      <c r="F96" s="44">
        <v>14.3</v>
      </c>
      <c r="G96" s="45">
        <v>96.06</v>
      </c>
      <c r="H96" s="45">
        <f t="shared" si="6"/>
        <v>114.34</v>
      </c>
      <c r="I96" s="45">
        <f t="shared" si="7"/>
        <v>1635.06</v>
      </c>
    </row>
    <row r="97" spans="1:9" ht="24" x14ac:dyDescent="0.25">
      <c r="A97" s="41" t="s">
        <v>159</v>
      </c>
      <c r="B97" s="61">
        <v>94962</v>
      </c>
      <c r="C97" s="42" t="s">
        <v>25</v>
      </c>
      <c r="D97" s="73" t="s">
        <v>160</v>
      </c>
      <c r="E97" s="61" t="s">
        <v>37</v>
      </c>
      <c r="F97" s="44">
        <v>0.27</v>
      </c>
      <c r="G97" s="45">
        <v>272.3</v>
      </c>
      <c r="H97" s="45">
        <f t="shared" si="6"/>
        <v>324.11</v>
      </c>
      <c r="I97" s="45">
        <f t="shared" si="7"/>
        <v>87.5</v>
      </c>
    </row>
    <row r="98" spans="1:9" ht="24" x14ac:dyDescent="0.25">
      <c r="A98" s="41" t="s">
        <v>161</v>
      </c>
      <c r="B98" s="61">
        <v>94971</v>
      </c>
      <c r="C98" s="42" t="s">
        <v>25</v>
      </c>
      <c r="D98" s="73" t="s">
        <v>148</v>
      </c>
      <c r="E98" s="61" t="s">
        <v>37</v>
      </c>
      <c r="F98" s="44">
        <f>0.8+0.8+0.3+0.8</f>
        <v>2.7</v>
      </c>
      <c r="G98" s="45">
        <v>340.61</v>
      </c>
      <c r="H98" s="45">
        <f t="shared" si="6"/>
        <v>405.42</v>
      </c>
      <c r="I98" s="45">
        <f t="shared" si="7"/>
        <v>1094.6300000000001</v>
      </c>
    </row>
    <row r="99" spans="1:9" ht="24" x14ac:dyDescent="0.25">
      <c r="A99" s="41" t="s">
        <v>162</v>
      </c>
      <c r="B99" s="61">
        <v>92873</v>
      </c>
      <c r="C99" s="42" t="s">
        <v>25</v>
      </c>
      <c r="D99" s="73" t="s">
        <v>139</v>
      </c>
      <c r="E99" s="61" t="s">
        <v>37</v>
      </c>
      <c r="F99" s="44">
        <f>0.8+0.8+0.3+0.8</f>
        <v>2.7</v>
      </c>
      <c r="G99" s="45">
        <v>166.95</v>
      </c>
      <c r="H99" s="45">
        <f t="shared" si="6"/>
        <v>198.72</v>
      </c>
      <c r="I99" s="45">
        <f t="shared" si="7"/>
        <v>536.54</v>
      </c>
    </row>
    <row r="100" spans="1:9" ht="36" x14ac:dyDescent="0.25">
      <c r="A100" s="41" t="s">
        <v>163</v>
      </c>
      <c r="B100" s="61" t="s">
        <v>141</v>
      </c>
      <c r="C100" s="42" t="s">
        <v>25</v>
      </c>
      <c r="D100" s="73" t="s">
        <v>142</v>
      </c>
      <c r="E100" s="61" t="s">
        <v>27</v>
      </c>
      <c r="F100" s="44">
        <f>6.15*3.85</f>
        <v>23.677500000000002</v>
      </c>
      <c r="G100" s="45">
        <v>84.74</v>
      </c>
      <c r="H100" s="45">
        <f t="shared" si="6"/>
        <v>100.86</v>
      </c>
      <c r="I100" s="45">
        <f t="shared" si="7"/>
        <v>2388.11</v>
      </c>
    </row>
    <row r="101" spans="1:9" x14ac:dyDescent="0.25">
      <c r="A101" s="41"/>
      <c r="B101" s="61"/>
      <c r="C101" s="42"/>
      <c r="D101" s="74" t="s">
        <v>164</v>
      </c>
      <c r="E101" s="61"/>
      <c r="F101" s="44"/>
      <c r="G101" s="45"/>
      <c r="H101" s="45"/>
      <c r="I101" s="45"/>
    </row>
    <row r="102" spans="1:9" ht="36" x14ac:dyDescent="0.25">
      <c r="A102" s="41" t="s">
        <v>165</v>
      </c>
      <c r="B102" s="61">
        <v>92775</v>
      </c>
      <c r="C102" s="41" t="s">
        <v>25</v>
      </c>
      <c r="D102" s="73" t="s">
        <v>124</v>
      </c>
      <c r="E102" s="61" t="s">
        <v>125</v>
      </c>
      <c r="F102" s="44">
        <v>21.62</v>
      </c>
      <c r="G102" s="45">
        <v>12.57</v>
      </c>
      <c r="H102" s="45">
        <f t="shared" ref="H102:H108" si="8">TRUNC(G102*1.1903,2)</f>
        <v>14.96</v>
      </c>
      <c r="I102" s="45">
        <f t="shared" ref="I102:I108" si="9">TRUNC(F102*H102,2)</f>
        <v>323.43</v>
      </c>
    </row>
    <row r="103" spans="1:9" ht="36" x14ac:dyDescent="0.25">
      <c r="A103" s="41" t="s">
        <v>166</v>
      </c>
      <c r="B103" s="61">
        <v>92777</v>
      </c>
      <c r="C103" s="42" t="s">
        <v>25</v>
      </c>
      <c r="D103" s="73" t="s">
        <v>127</v>
      </c>
      <c r="E103" s="61" t="s">
        <v>125</v>
      </c>
      <c r="F103" s="44">
        <v>48.05</v>
      </c>
      <c r="G103" s="45">
        <v>10.33</v>
      </c>
      <c r="H103" s="45">
        <f t="shared" si="8"/>
        <v>12.29</v>
      </c>
      <c r="I103" s="45">
        <f t="shared" si="9"/>
        <v>590.53</v>
      </c>
    </row>
    <row r="104" spans="1:9" ht="36" x14ac:dyDescent="0.25">
      <c r="A104" s="41" t="s">
        <v>167</v>
      </c>
      <c r="B104" s="61">
        <v>92778</v>
      </c>
      <c r="C104" s="42" t="s">
        <v>25</v>
      </c>
      <c r="D104" s="73" t="s">
        <v>129</v>
      </c>
      <c r="E104" s="61" t="s">
        <v>125</v>
      </c>
      <c r="F104" s="44">
        <v>29.8</v>
      </c>
      <c r="G104" s="45">
        <v>8.3800000000000008</v>
      </c>
      <c r="H104" s="45">
        <f t="shared" si="8"/>
        <v>9.9700000000000006</v>
      </c>
      <c r="I104" s="45">
        <f t="shared" si="9"/>
        <v>297.10000000000002</v>
      </c>
    </row>
    <row r="105" spans="1:9" ht="48" x14ac:dyDescent="0.25">
      <c r="A105" s="41" t="s">
        <v>168</v>
      </c>
      <c r="B105" s="61">
        <v>92415</v>
      </c>
      <c r="C105" s="42" t="s">
        <v>25</v>
      </c>
      <c r="D105" s="73" t="s">
        <v>131</v>
      </c>
      <c r="E105" s="61" t="s">
        <v>27</v>
      </c>
      <c r="F105" s="44">
        <v>8.4</v>
      </c>
      <c r="G105" s="45">
        <v>87.93</v>
      </c>
      <c r="H105" s="45">
        <f t="shared" si="8"/>
        <v>104.66</v>
      </c>
      <c r="I105" s="45">
        <f t="shared" si="9"/>
        <v>879.14</v>
      </c>
    </row>
    <row r="106" spans="1:9" ht="36" x14ac:dyDescent="0.25">
      <c r="A106" s="41" t="s">
        <v>169</v>
      </c>
      <c r="B106" s="61">
        <v>92447</v>
      </c>
      <c r="C106" s="42" t="s">
        <v>25</v>
      </c>
      <c r="D106" s="73" t="s">
        <v>133</v>
      </c>
      <c r="E106" s="61" t="s">
        <v>27</v>
      </c>
      <c r="F106" s="44">
        <f>10.2+8.8</f>
        <v>19</v>
      </c>
      <c r="G106" s="45">
        <v>96.06</v>
      </c>
      <c r="H106" s="45">
        <f t="shared" si="8"/>
        <v>114.34</v>
      </c>
      <c r="I106" s="45">
        <f t="shared" si="9"/>
        <v>2172.46</v>
      </c>
    </row>
    <row r="107" spans="1:9" ht="24" x14ac:dyDescent="0.25">
      <c r="A107" s="41" t="s">
        <v>170</v>
      </c>
      <c r="B107" s="61">
        <v>94971</v>
      </c>
      <c r="C107" s="42" t="s">
        <v>25</v>
      </c>
      <c r="D107" s="73" t="s">
        <v>148</v>
      </c>
      <c r="E107" s="61" t="s">
        <v>37</v>
      </c>
      <c r="F107" s="44">
        <f>0.7+0.6+0.54+0.24</f>
        <v>2.08</v>
      </c>
      <c r="G107" s="45">
        <v>340.61</v>
      </c>
      <c r="H107" s="45">
        <f t="shared" si="8"/>
        <v>405.42</v>
      </c>
      <c r="I107" s="45">
        <f t="shared" si="9"/>
        <v>843.27</v>
      </c>
    </row>
    <row r="108" spans="1:9" ht="24" x14ac:dyDescent="0.25">
      <c r="A108" s="41" t="s">
        <v>171</v>
      </c>
      <c r="B108" s="61">
        <v>92873</v>
      </c>
      <c r="C108" s="42" t="s">
        <v>25</v>
      </c>
      <c r="D108" s="73" t="s">
        <v>139</v>
      </c>
      <c r="E108" s="61" t="s">
        <v>37</v>
      </c>
      <c r="F108" s="44">
        <f>0.7+0.6+0.54+0.24</f>
        <v>2.08</v>
      </c>
      <c r="G108" s="45">
        <v>166.95</v>
      </c>
      <c r="H108" s="45">
        <f t="shared" si="8"/>
        <v>198.72</v>
      </c>
      <c r="I108" s="45">
        <f t="shared" si="9"/>
        <v>413.33</v>
      </c>
    </row>
    <row r="109" spans="1:9" x14ac:dyDescent="0.25">
      <c r="A109" s="41"/>
      <c r="B109" s="61"/>
      <c r="C109" s="42"/>
      <c r="D109" s="74" t="s">
        <v>172</v>
      </c>
      <c r="E109" s="61"/>
      <c r="F109" s="44"/>
      <c r="G109" s="45"/>
      <c r="H109" s="45"/>
      <c r="I109" s="45"/>
    </row>
    <row r="110" spans="1:9" ht="36" x14ac:dyDescent="0.25">
      <c r="A110" s="41" t="s">
        <v>173</v>
      </c>
      <c r="B110" s="61">
        <v>92775</v>
      </c>
      <c r="C110" s="41" t="s">
        <v>25</v>
      </c>
      <c r="D110" s="73" t="s">
        <v>124</v>
      </c>
      <c r="E110" s="61" t="s">
        <v>125</v>
      </c>
      <c r="F110" s="44">
        <v>34</v>
      </c>
      <c r="G110" s="45">
        <v>12.57</v>
      </c>
      <c r="H110" s="45">
        <f>TRUNC(G110*1.1903,2)</f>
        <v>14.96</v>
      </c>
      <c r="I110" s="45">
        <f>TRUNC(F110*H110,2)</f>
        <v>508.64</v>
      </c>
    </row>
    <row r="111" spans="1:9" ht="36" x14ac:dyDescent="0.25">
      <c r="A111" s="41" t="s">
        <v>174</v>
      </c>
      <c r="B111" s="61">
        <v>92777</v>
      </c>
      <c r="C111" s="42" t="s">
        <v>25</v>
      </c>
      <c r="D111" s="73" t="s">
        <v>175</v>
      </c>
      <c r="E111" s="61" t="s">
        <v>125</v>
      </c>
      <c r="F111" s="44">
        <v>15</v>
      </c>
      <c r="G111" s="45">
        <v>10.33</v>
      </c>
      <c r="H111" s="45">
        <f>TRUNC(G111*1.1903,2)</f>
        <v>12.29</v>
      </c>
      <c r="I111" s="45">
        <f>TRUNC(F111*H111,2)</f>
        <v>184.35</v>
      </c>
    </row>
    <row r="112" spans="1:9" ht="36" x14ac:dyDescent="0.25">
      <c r="A112" s="41" t="s">
        <v>176</v>
      </c>
      <c r="B112" s="61">
        <v>92447</v>
      </c>
      <c r="C112" s="42" t="s">
        <v>25</v>
      </c>
      <c r="D112" s="73" t="s">
        <v>133</v>
      </c>
      <c r="E112" s="61" t="s">
        <v>27</v>
      </c>
      <c r="F112" s="44">
        <v>11.4</v>
      </c>
      <c r="G112" s="45">
        <v>96.06</v>
      </c>
      <c r="H112" s="45">
        <f>TRUNC(G112*1.1903,2)</f>
        <v>114.34</v>
      </c>
      <c r="I112" s="45">
        <f>TRUNC(F112*H112,2)</f>
        <v>1303.47</v>
      </c>
    </row>
    <row r="113" spans="1:9" ht="24" x14ac:dyDescent="0.25">
      <c r="A113" s="41" t="s">
        <v>177</v>
      </c>
      <c r="B113" s="61">
        <v>94971</v>
      </c>
      <c r="C113" s="42" t="s">
        <v>25</v>
      </c>
      <c r="D113" s="73" t="s">
        <v>148</v>
      </c>
      <c r="E113" s="61" t="s">
        <v>37</v>
      </c>
      <c r="F113" s="44">
        <v>11.4</v>
      </c>
      <c r="G113" s="45">
        <v>340.61</v>
      </c>
      <c r="H113" s="45">
        <f>TRUNC(G113*1.1903,2)</f>
        <v>405.42</v>
      </c>
      <c r="I113" s="45">
        <f>TRUNC(F113*H113,2)</f>
        <v>4621.78</v>
      </c>
    </row>
    <row r="114" spans="1:9" ht="24" x14ac:dyDescent="0.25">
      <c r="A114" s="41" t="s">
        <v>178</v>
      </c>
      <c r="B114" s="61">
        <v>92873</v>
      </c>
      <c r="C114" s="42" t="s">
        <v>25</v>
      </c>
      <c r="D114" s="73" t="s">
        <v>179</v>
      </c>
      <c r="E114" s="61" t="s">
        <v>37</v>
      </c>
      <c r="F114" s="44">
        <v>11.4</v>
      </c>
      <c r="G114" s="45">
        <v>166.95</v>
      </c>
      <c r="H114" s="45">
        <f>TRUNC(G114*1.1903,2)</f>
        <v>198.72</v>
      </c>
      <c r="I114" s="45">
        <f>TRUNC(F114*H114,2)</f>
        <v>2265.4</v>
      </c>
    </row>
    <row r="115" spans="1:9" x14ac:dyDescent="0.25">
      <c r="A115" s="41"/>
      <c r="B115" s="61"/>
      <c r="C115" s="42"/>
      <c r="D115" s="74" t="s">
        <v>99</v>
      </c>
      <c r="E115" s="61"/>
      <c r="F115" s="44"/>
      <c r="G115" s="45"/>
      <c r="H115" s="45"/>
      <c r="I115" s="45"/>
    </row>
    <row r="116" spans="1:9" ht="36" x14ac:dyDescent="0.25">
      <c r="A116" s="41" t="s">
        <v>180</v>
      </c>
      <c r="B116" s="61">
        <v>92775</v>
      </c>
      <c r="C116" s="41" t="s">
        <v>25</v>
      </c>
      <c r="D116" s="73" t="s">
        <v>124</v>
      </c>
      <c r="E116" s="61" t="s">
        <v>125</v>
      </c>
      <c r="F116" s="44">
        <v>31</v>
      </c>
      <c r="G116" s="60">
        <v>12.57</v>
      </c>
      <c r="H116" s="45">
        <f>TRUNC(G116*1.1903,2)</f>
        <v>14.96</v>
      </c>
      <c r="I116" s="45">
        <f>TRUNC(F116*H116,2)</f>
        <v>463.76</v>
      </c>
    </row>
    <row r="117" spans="1:9" ht="36" x14ac:dyDescent="0.25">
      <c r="A117" s="41" t="s">
        <v>181</v>
      </c>
      <c r="B117" s="61">
        <v>92777</v>
      </c>
      <c r="C117" s="42" t="s">
        <v>25</v>
      </c>
      <c r="D117" s="73" t="s">
        <v>127</v>
      </c>
      <c r="E117" s="61" t="s">
        <v>125</v>
      </c>
      <c r="F117" s="44">
        <v>123</v>
      </c>
      <c r="G117" s="60">
        <v>10.33</v>
      </c>
      <c r="H117" s="45">
        <f>TRUNC(G117*1.1903,2)</f>
        <v>12.29</v>
      </c>
      <c r="I117" s="45">
        <f>TRUNC(F117*H117,2)</f>
        <v>1511.67</v>
      </c>
    </row>
    <row r="118" spans="1:9" ht="36" x14ac:dyDescent="0.25">
      <c r="A118" s="41" t="s">
        <v>182</v>
      </c>
      <c r="B118" s="61">
        <v>92447</v>
      </c>
      <c r="C118" s="42" t="s">
        <v>25</v>
      </c>
      <c r="D118" s="73" t="s">
        <v>133</v>
      </c>
      <c r="E118" s="61" t="s">
        <v>27</v>
      </c>
      <c r="F118" s="44">
        <v>40</v>
      </c>
      <c r="G118" s="60">
        <v>96.06</v>
      </c>
      <c r="H118" s="45">
        <f>TRUNC(G118*1.1903,2)</f>
        <v>114.34</v>
      </c>
      <c r="I118" s="45">
        <f>TRUNC(F118*H118,2)</f>
        <v>4573.6000000000004</v>
      </c>
    </row>
    <row r="119" spans="1:9" ht="24" x14ac:dyDescent="0.25">
      <c r="A119" s="41" t="s">
        <v>183</v>
      </c>
      <c r="B119" s="61">
        <v>94971</v>
      </c>
      <c r="C119" s="42" t="s">
        <v>25</v>
      </c>
      <c r="D119" s="73" t="s">
        <v>148</v>
      </c>
      <c r="E119" s="61" t="s">
        <v>37</v>
      </c>
      <c r="F119" s="44">
        <v>2.5</v>
      </c>
      <c r="G119" s="45">
        <v>340.61</v>
      </c>
      <c r="H119" s="45">
        <f>TRUNC(G119*1.1903,2)</f>
        <v>405.42</v>
      </c>
      <c r="I119" s="45">
        <f>TRUNC(F119*H119,2)</f>
        <v>1013.55</v>
      </c>
    </row>
    <row r="120" spans="1:9" ht="24" x14ac:dyDescent="0.25">
      <c r="A120" s="41" t="s">
        <v>184</v>
      </c>
      <c r="B120" s="61">
        <v>92873</v>
      </c>
      <c r="C120" s="42" t="s">
        <v>25</v>
      </c>
      <c r="D120" s="73" t="s">
        <v>139</v>
      </c>
      <c r="E120" s="61" t="s">
        <v>37</v>
      </c>
      <c r="F120" s="44">
        <v>2.5</v>
      </c>
      <c r="G120" s="45">
        <v>166.95</v>
      </c>
      <c r="H120" s="45">
        <f>TRUNC(G120*1.1903,2)</f>
        <v>198.72</v>
      </c>
      <c r="I120" s="45">
        <f>TRUNC(F120*H120,2)</f>
        <v>496.8</v>
      </c>
    </row>
    <row r="121" spans="1:9" x14ac:dyDescent="0.25">
      <c r="A121" s="46"/>
      <c r="B121" s="47"/>
      <c r="C121" s="48"/>
      <c r="D121" s="49" t="s">
        <v>185</v>
      </c>
      <c r="E121" s="50" t="s">
        <v>31</v>
      </c>
      <c r="F121" s="67"/>
      <c r="G121" s="52"/>
      <c r="H121" s="52"/>
      <c r="I121" s="53">
        <f>SUM(I74:I120)</f>
        <v>37004.950000000004</v>
      </c>
    </row>
    <row r="122" spans="1:9" x14ac:dyDescent="0.25">
      <c r="A122" s="76" t="s">
        <v>186</v>
      </c>
      <c r="B122" s="76"/>
      <c r="C122" s="54"/>
      <c r="D122" s="39" t="s">
        <v>187</v>
      </c>
      <c r="E122" s="77"/>
      <c r="F122" s="78"/>
      <c r="G122" s="78"/>
      <c r="H122" s="78"/>
      <c r="I122" s="78"/>
    </row>
    <row r="123" spans="1:9" ht="24" x14ac:dyDescent="0.25">
      <c r="A123" s="61" t="s">
        <v>188</v>
      </c>
      <c r="B123" s="61" t="s">
        <v>189</v>
      </c>
      <c r="C123" s="42" t="s">
        <v>25</v>
      </c>
      <c r="D123" s="73" t="s">
        <v>190</v>
      </c>
      <c r="E123" s="61" t="s">
        <v>27</v>
      </c>
      <c r="F123" s="44">
        <v>31.22</v>
      </c>
      <c r="G123" s="45">
        <v>9.5299999999999994</v>
      </c>
      <c r="H123" s="45">
        <f>TRUNC(G123*1.1903,2)</f>
        <v>11.34</v>
      </c>
      <c r="I123" s="45">
        <f>TRUNC(F123*H123,2)</f>
        <v>354.03</v>
      </c>
    </row>
    <row r="124" spans="1:9" x14ac:dyDescent="0.25">
      <c r="A124" s="46"/>
      <c r="B124" s="47"/>
      <c r="C124" s="48"/>
      <c r="D124" s="49" t="s">
        <v>191</v>
      </c>
      <c r="E124" s="50" t="s">
        <v>31</v>
      </c>
      <c r="F124" s="67"/>
      <c r="G124" s="52"/>
      <c r="H124" s="52"/>
      <c r="I124" s="53">
        <f>SUM(I123)</f>
        <v>354.03</v>
      </c>
    </row>
    <row r="125" spans="1:9" x14ac:dyDescent="0.25">
      <c r="A125" s="54" t="s">
        <v>192</v>
      </c>
      <c r="B125" s="55"/>
      <c r="C125" s="55"/>
      <c r="D125" s="39" t="s">
        <v>193</v>
      </c>
      <c r="E125" s="55"/>
      <c r="F125" s="79"/>
      <c r="G125" s="57"/>
      <c r="H125" s="57"/>
      <c r="I125" s="57"/>
    </row>
    <row r="126" spans="1:9" x14ac:dyDescent="0.25">
      <c r="A126" s="41"/>
      <c r="B126" s="41"/>
      <c r="C126" s="41"/>
      <c r="D126" s="59" t="s">
        <v>34</v>
      </c>
      <c r="E126" s="41"/>
      <c r="F126" s="66"/>
      <c r="G126" s="60"/>
      <c r="H126" s="60"/>
      <c r="I126" s="60"/>
    </row>
    <row r="127" spans="1:9" ht="48" x14ac:dyDescent="0.25">
      <c r="A127" s="61" t="s">
        <v>194</v>
      </c>
      <c r="B127" s="61">
        <v>87495</v>
      </c>
      <c r="C127" s="61" t="s">
        <v>25</v>
      </c>
      <c r="D127" s="73" t="s">
        <v>195</v>
      </c>
      <c r="E127" s="61" t="s">
        <v>27</v>
      </c>
      <c r="F127" s="44">
        <v>37.19</v>
      </c>
      <c r="G127" s="45">
        <v>68.78</v>
      </c>
      <c r="H127" s="45">
        <f>TRUNC(G127*1.1903,2)</f>
        <v>81.86</v>
      </c>
      <c r="I127" s="45">
        <f>TRUNC(F127*H127,2)</f>
        <v>3044.37</v>
      </c>
    </row>
    <row r="128" spans="1:9" ht="36" x14ac:dyDescent="0.25">
      <c r="A128" s="61" t="s">
        <v>196</v>
      </c>
      <c r="B128" s="61">
        <v>79627</v>
      </c>
      <c r="C128" s="61" t="s">
        <v>25</v>
      </c>
      <c r="D128" s="80" t="s">
        <v>197</v>
      </c>
      <c r="E128" s="61" t="s">
        <v>27</v>
      </c>
      <c r="F128" s="44">
        <v>4.68</v>
      </c>
      <c r="G128" s="45">
        <v>608.62</v>
      </c>
      <c r="H128" s="45">
        <f>TRUNC(G128*1.1903,2)</f>
        <v>724.44</v>
      </c>
      <c r="I128" s="45">
        <f>TRUNC(F128*H128,2)</f>
        <v>3390.37</v>
      </c>
    </row>
    <row r="129" spans="1:9" ht="24" x14ac:dyDescent="0.25">
      <c r="A129" s="61" t="s">
        <v>198</v>
      </c>
      <c r="B129" s="41">
        <v>93188</v>
      </c>
      <c r="C129" s="41" t="s">
        <v>25</v>
      </c>
      <c r="D129" s="64" t="s">
        <v>199</v>
      </c>
      <c r="E129" s="41" t="s">
        <v>60</v>
      </c>
      <c r="F129" s="44">
        <v>1.1000000000000001</v>
      </c>
      <c r="G129" s="60">
        <v>38.31</v>
      </c>
      <c r="H129" s="45">
        <f>TRUNC(G129*1.1903,2)</f>
        <v>45.6</v>
      </c>
      <c r="I129" s="45">
        <f>TRUNC(F129*H129,2)</f>
        <v>50.16</v>
      </c>
    </row>
    <row r="130" spans="1:9" ht="24" x14ac:dyDescent="0.25">
      <c r="A130" s="61" t="s">
        <v>200</v>
      </c>
      <c r="B130" s="41">
        <v>93187</v>
      </c>
      <c r="C130" s="41" t="s">
        <v>25</v>
      </c>
      <c r="D130" s="73" t="s">
        <v>201</v>
      </c>
      <c r="E130" s="41" t="s">
        <v>60</v>
      </c>
      <c r="F130" s="44">
        <v>3.8</v>
      </c>
      <c r="G130" s="60">
        <v>45.07</v>
      </c>
      <c r="H130" s="45">
        <f>TRUNC(G130*1.1903,2)</f>
        <v>53.64</v>
      </c>
      <c r="I130" s="45">
        <f>TRUNC(F130*H130,2)</f>
        <v>203.83</v>
      </c>
    </row>
    <row r="131" spans="1:9" ht="24" x14ac:dyDescent="0.25">
      <c r="A131" s="61" t="s">
        <v>202</v>
      </c>
      <c r="B131" s="41">
        <v>93197</v>
      </c>
      <c r="C131" s="41" t="s">
        <v>25</v>
      </c>
      <c r="D131" s="73" t="s">
        <v>203</v>
      </c>
      <c r="E131" s="41" t="s">
        <v>60</v>
      </c>
      <c r="F131" s="44">
        <v>3.8</v>
      </c>
      <c r="G131" s="60">
        <v>41.68</v>
      </c>
      <c r="H131" s="45">
        <f>TRUNC(G131*1.1903,2)</f>
        <v>49.61</v>
      </c>
      <c r="I131" s="45">
        <f>TRUNC(F131*H131,2)</f>
        <v>188.51</v>
      </c>
    </row>
    <row r="132" spans="1:9" x14ac:dyDescent="0.25">
      <c r="A132" s="81"/>
      <c r="B132" s="41"/>
      <c r="C132" s="41"/>
      <c r="D132" s="59" t="s">
        <v>204</v>
      </c>
      <c r="E132" s="41"/>
      <c r="F132" s="66"/>
      <c r="G132" s="60"/>
      <c r="H132" s="60"/>
      <c r="I132" s="60"/>
    </row>
    <row r="133" spans="1:9" ht="48" x14ac:dyDescent="0.25">
      <c r="A133" s="41" t="s">
        <v>205</v>
      </c>
      <c r="B133" s="61">
        <v>87519</v>
      </c>
      <c r="C133" s="61" t="s">
        <v>25</v>
      </c>
      <c r="D133" s="73" t="s">
        <v>206</v>
      </c>
      <c r="E133" s="61" t="s">
        <v>27</v>
      </c>
      <c r="F133" s="44">
        <v>142.88999999999999</v>
      </c>
      <c r="G133" s="45">
        <v>64.260000000000005</v>
      </c>
      <c r="H133" s="45">
        <f t="shared" ref="H133:H140" si="10">TRUNC(G133*1.1903,2)</f>
        <v>76.48</v>
      </c>
      <c r="I133" s="45">
        <f t="shared" ref="I133:I140" si="11">TRUNC(F133*H133,2)</f>
        <v>10928.22</v>
      </c>
    </row>
    <row r="134" spans="1:9" ht="60" x14ac:dyDescent="0.25">
      <c r="A134" s="41" t="s">
        <v>207</v>
      </c>
      <c r="B134" s="61">
        <v>87495</v>
      </c>
      <c r="C134" s="61" t="s">
        <v>25</v>
      </c>
      <c r="D134" s="73" t="s">
        <v>208</v>
      </c>
      <c r="E134" s="61" t="s">
        <v>27</v>
      </c>
      <c r="F134" s="44">
        <v>46.67</v>
      </c>
      <c r="G134" s="45">
        <v>68.78</v>
      </c>
      <c r="H134" s="45">
        <f t="shared" si="10"/>
        <v>81.86</v>
      </c>
      <c r="I134" s="45">
        <f t="shared" si="11"/>
        <v>3820.4</v>
      </c>
    </row>
    <row r="135" spans="1:9" ht="24" x14ac:dyDescent="0.25">
      <c r="A135" s="41" t="s">
        <v>209</v>
      </c>
      <c r="B135" s="61" t="s">
        <v>210</v>
      </c>
      <c r="C135" s="82" t="s">
        <v>211</v>
      </c>
      <c r="D135" s="73" t="s">
        <v>212</v>
      </c>
      <c r="E135" s="61" t="s">
        <v>60</v>
      </c>
      <c r="F135" s="44">
        <v>3.34</v>
      </c>
      <c r="G135" s="45">
        <f>Composição!H251</f>
        <v>284.38679999999999</v>
      </c>
      <c r="H135" s="45">
        <f t="shared" si="10"/>
        <v>338.5</v>
      </c>
      <c r="I135" s="45">
        <f t="shared" si="11"/>
        <v>1130.5899999999999</v>
      </c>
    </row>
    <row r="136" spans="1:9" ht="24" x14ac:dyDescent="0.25">
      <c r="A136" s="41" t="s">
        <v>213</v>
      </c>
      <c r="B136" s="61" t="s">
        <v>214</v>
      </c>
      <c r="C136" s="82" t="s">
        <v>211</v>
      </c>
      <c r="D136" s="73" t="s">
        <v>215</v>
      </c>
      <c r="E136" s="61" t="s">
        <v>27</v>
      </c>
      <c r="F136" s="44">
        <v>2.68</v>
      </c>
      <c r="G136" s="45">
        <f>Composição!H191</f>
        <v>101.2368446</v>
      </c>
      <c r="H136" s="45">
        <f t="shared" si="10"/>
        <v>120.5</v>
      </c>
      <c r="I136" s="45">
        <f t="shared" si="11"/>
        <v>322.94</v>
      </c>
    </row>
    <row r="137" spans="1:9" ht="24" x14ac:dyDescent="0.25">
      <c r="A137" s="41" t="s">
        <v>216</v>
      </c>
      <c r="B137" s="41">
        <v>93188</v>
      </c>
      <c r="C137" s="41" t="s">
        <v>25</v>
      </c>
      <c r="D137" s="64" t="s">
        <v>199</v>
      </c>
      <c r="E137" s="41" t="s">
        <v>60</v>
      </c>
      <c r="F137" s="44">
        <v>11</v>
      </c>
      <c r="G137" s="60">
        <v>38.31</v>
      </c>
      <c r="H137" s="45">
        <f t="shared" si="10"/>
        <v>45.6</v>
      </c>
      <c r="I137" s="45">
        <f t="shared" si="11"/>
        <v>501.6</v>
      </c>
    </row>
    <row r="138" spans="1:9" ht="24" x14ac:dyDescent="0.25">
      <c r="A138" s="41" t="s">
        <v>217</v>
      </c>
      <c r="B138" s="41">
        <v>93187</v>
      </c>
      <c r="C138" s="41" t="s">
        <v>25</v>
      </c>
      <c r="D138" s="73" t="s">
        <v>201</v>
      </c>
      <c r="E138" s="41" t="s">
        <v>60</v>
      </c>
      <c r="F138" s="44">
        <v>19.100000000000001</v>
      </c>
      <c r="G138" s="60">
        <v>45.07</v>
      </c>
      <c r="H138" s="45">
        <f t="shared" si="10"/>
        <v>53.64</v>
      </c>
      <c r="I138" s="45">
        <f t="shared" si="11"/>
        <v>1024.52</v>
      </c>
    </row>
    <row r="139" spans="1:9" ht="24" x14ac:dyDescent="0.25">
      <c r="A139" s="41" t="s">
        <v>218</v>
      </c>
      <c r="B139" s="41">
        <v>93197</v>
      </c>
      <c r="C139" s="41" t="s">
        <v>25</v>
      </c>
      <c r="D139" s="73" t="s">
        <v>203</v>
      </c>
      <c r="E139" s="41" t="s">
        <v>60</v>
      </c>
      <c r="F139" s="44">
        <v>19.100000000000001</v>
      </c>
      <c r="G139" s="60">
        <v>41.68</v>
      </c>
      <c r="H139" s="45">
        <f t="shared" si="10"/>
        <v>49.61</v>
      </c>
      <c r="I139" s="45">
        <f t="shared" si="11"/>
        <v>947.55</v>
      </c>
    </row>
    <row r="140" spans="1:9" ht="36" x14ac:dyDescent="0.25">
      <c r="A140" s="41" t="s">
        <v>219</v>
      </c>
      <c r="B140" s="61">
        <v>79627</v>
      </c>
      <c r="C140" s="61" t="s">
        <v>25</v>
      </c>
      <c r="D140" s="80" t="s">
        <v>197</v>
      </c>
      <c r="E140" s="61" t="s">
        <v>27</v>
      </c>
      <c r="F140" s="44">
        <v>21.89</v>
      </c>
      <c r="G140" s="45">
        <v>608.62</v>
      </c>
      <c r="H140" s="45">
        <f t="shared" si="10"/>
        <v>724.44</v>
      </c>
      <c r="I140" s="45">
        <f t="shared" si="11"/>
        <v>15857.99</v>
      </c>
    </row>
    <row r="141" spans="1:9" x14ac:dyDescent="0.25">
      <c r="A141" s="41"/>
      <c r="B141" s="41"/>
      <c r="C141" s="41"/>
      <c r="D141" s="74" t="s">
        <v>99</v>
      </c>
      <c r="E141" s="41"/>
      <c r="F141" s="66"/>
      <c r="G141" s="60"/>
      <c r="H141" s="60"/>
      <c r="I141" s="60"/>
    </row>
    <row r="142" spans="1:9" ht="48" x14ac:dyDescent="0.25">
      <c r="A142" s="61" t="s">
        <v>220</v>
      </c>
      <c r="B142" s="61">
        <v>87495</v>
      </c>
      <c r="C142" s="61" t="s">
        <v>25</v>
      </c>
      <c r="D142" s="73" t="s">
        <v>221</v>
      </c>
      <c r="E142" s="61" t="s">
        <v>27</v>
      </c>
      <c r="F142" s="44">
        <v>22.51</v>
      </c>
      <c r="G142" s="45">
        <v>68.78</v>
      </c>
      <c r="H142" s="45">
        <f>TRUNC(G142*1.1903,2)</f>
        <v>81.86</v>
      </c>
      <c r="I142" s="45">
        <f>TRUNC(F142*H142,2)</f>
        <v>1842.66</v>
      </c>
    </row>
    <row r="143" spans="1:9" ht="24" x14ac:dyDescent="0.25">
      <c r="A143" s="61" t="s">
        <v>222</v>
      </c>
      <c r="B143" s="41">
        <v>93188</v>
      </c>
      <c r="C143" s="41" t="s">
        <v>25</v>
      </c>
      <c r="D143" s="64" t="s">
        <v>199</v>
      </c>
      <c r="E143" s="41" t="s">
        <v>60</v>
      </c>
      <c r="F143" s="44">
        <v>3.2</v>
      </c>
      <c r="G143" s="60">
        <v>38.31</v>
      </c>
      <c r="H143" s="45">
        <f>TRUNC(G143*1.1903,2)</f>
        <v>45.6</v>
      </c>
      <c r="I143" s="45">
        <f>TRUNC(F143*H143,2)</f>
        <v>145.91999999999999</v>
      </c>
    </row>
    <row r="144" spans="1:9" ht="24" x14ac:dyDescent="0.25">
      <c r="A144" s="61" t="s">
        <v>223</v>
      </c>
      <c r="B144" s="41">
        <v>93187</v>
      </c>
      <c r="C144" s="41" t="s">
        <v>25</v>
      </c>
      <c r="D144" s="73" t="s">
        <v>201</v>
      </c>
      <c r="E144" s="41" t="s">
        <v>60</v>
      </c>
      <c r="F144" s="44">
        <f>2.8*4</f>
        <v>11.2</v>
      </c>
      <c r="G144" s="60">
        <v>45.07</v>
      </c>
      <c r="H144" s="45">
        <f>TRUNC(G144*1.1903,2)</f>
        <v>53.64</v>
      </c>
      <c r="I144" s="45">
        <f>TRUNC(F144*H144,2)</f>
        <v>600.76</v>
      </c>
    </row>
    <row r="145" spans="1:9" ht="24" x14ac:dyDescent="0.25">
      <c r="A145" s="61" t="s">
        <v>224</v>
      </c>
      <c r="B145" s="41">
        <v>93197</v>
      </c>
      <c r="C145" s="41" t="s">
        <v>25</v>
      </c>
      <c r="D145" s="73" t="s">
        <v>203</v>
      </c>
      <c r="E145" s="41" t="s">
        <v>60</v>
      </c>
      <c r="F145" s="44">
        <f>2.8*4</f>
        <v>11.2</v>
      </c>
      <c r="G145" s="60">
        <v>41.68</v>
      </c>
      <c r="H145" s="45">
        <f>TRUNC(G145*1.1903,2)</f>
        <v>49.61</v>
      </c>
      <c r="I145" s="45">
        <f>TRUNC(F145*H145,2)</f>
        <v>555.63</v>
      </c>
    </row>
    <row r="146" spans="1:9" x14ac:dyDescent="0.25">
      <c r="A146" s="46"/>
      <c r="B146" s="47"/>
      <c r="C146" s="48"/>
      <c r="D146" s="49" t="s">
        <v>225</v>
      </c>
      <c r="E146" s="50" t="s">
        <v>31</v>
      </c>
      <c r="F146" s="67"/>
      <c r="G146" s="52"/>
      <c r="H146" s="52"/>
      <c r="I146" s="53">
        <f>SUM(I127:I145)</f>
        <v>44556.02</v>
      </c>
    </row>
    <row r="147" spans="1:9" x14ac:dyDescent="0.25">
      <c r="A147" s="54" t="s">
        <v>226</v>
      </c>
      <c r="B147" s="55"/>
      <c r="C147" s="83"/>
      <c r="D147" s="39" t="s">
        <v>227</v>
      </c>
      <c r="E147" s="83"/>
      <c r="F147" s="79"/>
      <c r="G147" s="57"/>
      <c r="H147" s="57"/>
      <c r="I147" s="57"/>
    </row>
    <row r="148" spans="1:9" x14ac:dyDescent="0.25">
      <c r="A148" s="41"/>
      <c r="B148" s="58"/>
      <c r="C148" s="84"/>
      <c r="D148" s="85" t="s">
        <v>34</v>
      </c>
      <c r="E148" s="84"/>
      <c r="F148" s="66"/>
      <c r="G148" s="60"/>
      <c r="H148" s="60"/>
      <c r="I148" s="60"/>
    </row>
    <row r="149" spans="1:9" ht="36" x14ac:dyDescent="0.25">
      <c r="A149" s="41" t="s">
        <v>228</v>
      </c>
      <c r="B149" s="41">
        <v>87882</v>
      </c>
      <c r="C149" s="41" t="s">
        <v>25</v>
      </c>
      <c r="D149" s="73" t="s">
        <v>229</v>
      </c>
      <c r="E149" s="61" t="s">
        <v>27</v>
      </c>
      <c r="F149" s="44">
        <f>F153</f>
        <v>7.22</v>
      </c>
      <c r="G149" s="45">
        <v>3.87</v>
      </c>
      <c r="H149" s="45">
        <f t="shared" ref="H149:H154" si="12">TRUNC(G149*1.1903,2)</f>
        <v>4.5999999999999996</v>
      </c>
      <c r="I149" s="45">
        <f t="shared" ref="I149:I154" si="13">TRUNC(F149*H149,2)</f>
        <v>33.21</v>
      </c>
    </row>
    <row r="150" spans="1:9" ht="48" x14ac:dyDescent="0.25">
      <c r="A150" s="41" t="s">
        <v>230</v>
      </c>
      <c r="B150" s="41">
        <v>87874</v>
      </c>
      <c r="C150" s="41" t="s">
        <v>25</v>
      </c>
      <c r="D150" s="73" t="s">
        <v>231</v>
      </c>
      <c r="E150" s="61" t="s">
        <v>27</v>
      </c>
      <c r="F150" s="44">
        <f>F151+F152</f>
        <v>267.85000000000002</v>
      </c>
      <c r="G150" s="45">
        <v>3.95</v>
      </c>
      <c r="H150" s="45">
        <f t="shared" si="12"/>
        <v>4.7</v>
      </c>
      <c r="I150" s="45">
        <f t="shared" si="13"/>
        <v>1258.8900000000001</v>
      </c>
    </row>
    <row r="151" spans="1:9" ht="60" x14ac:dyDescent="0.25">
      <c r="A151" s="41" t="s">
        <v>232</v>
      </c>
      <c r="B151" s="41">
        <v>87529</v>
      </c>
      <c r="C151" s="41" t="s">
        <v>25</v>
      </c>
      <c r="D151" s="73" t="s">
        <v>233</v>
      </c>
      <c r="E151" s="61" t="s">
        <v>27</v>
      </c>
      <c r="F151" s="44">
        <v>243.74</v>
      </c>
      <c r="G151" s="45">
        <v>26.23</v>
      </c>
      <c r="H151" s="45">
        <f t="shared" si="12"/>
        <v>31.22</v>
      </c>
      <c r="I151" s="45">
        <f t="shared" si="13"/>
        <v>7609.56</v>
      </c>
    </row>
    <row r="152" spans="1:9" ht="60" x14ac:dyDescent="0.25">
      <c r="A152" s="41" t="s">
        <v>234</v>
      </c>
      <c r="B152" s="41">
        <v>87535</v>
      </c>
      <c r="C152" s="41" t="s">
        <v>25</v>
      </c>
      <c r="D152" s="73" t="s">
        <v>235</v>
      </c>
      <c r="E152" s="61" t="s">
        <v>27</v>
      </c>
      <c r="F152" s="44">
        <v>24.11</v>
      </c>
      <c r="G152" s="45">
        <v>22.31</v>
      </c>
      <c r="H152" s="45">
        <f t="shared" si="12"/>
        <v>26.55</v>
      </c>
      <c r="I152" s="45">
        <f t="shared" si="13"/>
        <v>640.12</v>
      </c>
    </row>
    <row r="153" spans="1:9" ht="48" x14ac:dyDescent="0.25">
      <c r="A153" s="41" t="s">
        <v>236</v>
      </c>
      <c r="B153" s="41">
        <v>90406</v>
      </c>
      <c r="C153" s="41" t="s">
        <v>25</v>
      </c>
      <c r="D153" s="73" t="s">
        <v>237</v>
      </c>
      <c r="E153" s="61" t="s">
        <v>27</v>
      </c>
      <c r="F153" s="44">
        <v>7.22</v>
      </c>
      <c r="G153" s="45">
        <v>34.68</v>
      </c>
      <c r="H153" s="45">
        <f t="shared" si="12"/>
        <v>41.27</v>
      </c>
      <c r="I153" s="45">
        <f t="shared" si="13"/>
        <v>297.95999999999998</v>
      </c>
    </row>
    <row r="154" spans="1:9" ht="48" x14ac:dyDescent="0.25">
      <c r="A154" s="41" t="s">
        <v>238</v>
      </c>
      <c r="B154" s="41">
        <v>87264</v>
      </c>
      <c r="C154" s="41" t="s">
        <v>25</v>
      </c>
      <c r="D154" s="73" t="s">
        <v>239</v>
      </c>
      <c r="E154" s="41" t="s">
        <v>27</v>
      </c>
      <c r="F154" s="44">
        <v>24.11</v>
      </c>
      <c r="G154" s="45">
        <v>47.22</v>
      </c>
      <c r="H154" s="45">
        <f t="shared" si="12"/>
        <v>56.2</v>
      </c>
      <c r="I154" s="45">
        <f t="shared" si="13"/>
        <v>1354.98</v>
      </c>
    </row>
    <row r="155" spans="1:9" x14ac:dyDescent="0.25">
      <c r="A155" s="41"/>
      <c r="B155" s="41"/>
      <c r="C155" s="41"/>
      <c r="D155" s="59" t="s">
        <v>204</v>
      </c>
      <c r="E155" s="41"/>
      <c r="F155" s="66"/>
      <c r="G155" s="60"/>
      <c r="H155" s="60"/>
      <c r="I155" s="60"/>
    </row>
    <row r="156" spans="1:9" ht="36" x14ac:dyDescent="0.25">
      <c r="A156" s="41" t="s">
        <v>240</v>
      </c>
      <c r="B156" s="41">
        <v>87882</v>
      </c>
      <c r="C156" s="41" t="s">
        <v>25</v>
      </c>
      <c r="D156" s="73" t="s">
        <v>229</v>
      </c>
      <c r="E156" s="61" t="s">
        <v>27</v>
      </c>
      <c r="F156" s="44">
        <v>8.1300000000000008</v>
      </c>
      <c r="G156" s="45">
        <v>3.87</v>
      </c>
      <c r="H156" s="45">
        <f>TRUNC(G156*1.1903,2)</f>
        <v>4.5999999999999996</v>
      </c>
      <c r="I156" s="45">
        <f>TRUNC(F156*H156,2)</f>
        <v>37.39</v>
      </c>
    </row>
    <row r="157" spans="1:9" ht="48" x14ac:dyDescent="0.25">
      <c r="A157" s="41" t="s">
        <v>241</v>
      </c>
      <c r="B157" s="41">
        <v>87874</v>
      </c>
      <c r="C157" s="41" t="s">
        <v>25</v>
      </c>
      <c r="D157" s="73" t="s">
        <v>242</v>
      </c>
      <c r="E157" s="61" t="s">
        <v>27</v>
      </c>
      <c r="F157" s="44">
        <v>379.11</v>
      </c>
      <c r="G157" s="45">
        <v>3.95</v>
      </c>
      <c r="H157" s="45">
        <f>TRUNC(G157*1.1903,2)</f>
        <v>4.7</v>
      </c>
      <c r="I157" s="45">
        <f>TRUNC(F157*H157,2)</f>
        <v>1781.81</v>
      </c>
    </row>
    <row r="158" spans="1:9" ht="60" x14ac:dyDescent="0.25">
      <c r="A158" s="41" t="s">
        <v>243</v>
      </c>
      <c r="B158" s="41">
        <v>87529</v>
      </c>
      <c r="C158" s="41" t="s">
        <v>25</v>
      </c>
      <c r="D158" s="73" t="s">
        <v>233</v>
      </c>
      <c r="E158" s="61" t="s">
        <v>27</v>
      </c>
      <c r="F158" s="44">
        <f>405.33+109.72+63.39</f>
        <v>578.43999999999994</v>
      </c>
      <c r="G158" s="45">
        <v>26.23</v>
      </c>
      <c r="H158" s="45">
        <f>TRUNC(G158*1.1903,2)</f>
        <v>31.22</v>
      </c>
      <c r="I158" s="45">
        <f>TRUNC(F158*H158,2)</f>
        <v>18058.89</v>
      </c>
    </row>
    <row r="159" spans="1:9" ht="48" x14ac:dyDescent="0.25">
      <c r="A159" s="41" t="s">
        <v>244</v>
      </c>
      <c r="B159" s="41">
        <v>90406</v>
      </c>
      <c r="C159" s="41" t="s">
        <v>25</v>
      </c>
      <c r="D159" s="73" t="s">
        <v>245</v>
      </c>
      <c r="E159" s="61" t="s">
        <v>27</v>
      </c>
      <c r="F159" s="44">
        <v>8.1300000000000008</v>
      </c>
      <c r="G159" s="45">
        <v>34.68</v>
      </c>
      <c r="H159" s="45">
        <f>TRUNC(G159*1.1903,2)</f>
        <v>41.27</v>
      </c>
      <c r="I159" s="45">
        <f>TRUNC(F159*H159,2)</f>
        <v>335.52</v>
      </c>
    </row>
    <row r="160" spans="1:9" ht="48" x14ac:dyDescent="0.25">
      <c r="A160" s="41" t="s">
        <v>246</v>
      </c>
      <c r="B160" s="41">
        <v>87264</v>
      </c>
      <c r="C160" s="41" t="s">
        <v>25</v>
      </c>
      <c r="D160" s="73" t="s">
        <v>247</v>
      </c>
      <c r="E160" s="41" t="s">
        <v>27</v>
      </c>
      <c r="F160" s="44">
        <v>96.93</v>
      </c>
      <c r="G160" s="45">
        <v>47.22</v>
      </c>
      <c r="H160" s="45">
        <f>TRUNC(G160*1.1903,2)</f>
        <v>56.2</v>
      </c>
      <c r="I160" s="45">
        <f>TRUNC(F160*H160,2)</f>
        <v>5447.46</v>
      </c>
    </row>
    <row r="161" spans="1:9" x14ac:dyDescent="0.25">
      <c r="A161" s="41"/>
      <c r="B161" s="41"/>
      <c r="C161" s="41"/>
      <c r="D161" s="74" t="s">
        <v>99</v>
      </c>
      <c r="E161" s="41"/>
      <c r="F161" s="66"/>
      <c r="G161" s="60"/>
      <c r="H161" s="60"/>
      <c r="I161" s="60"/>
    </row>
    <row r="162" spans="1:9" ht="48" x14ac:dyDescent="0.25">
      <c r="A162" s="41" t="s">
        <v>248</v>
      </c>
      <c r="B162" s="41">
        <v>87874</v>
      </c>
      <c r="C162" s="41" t="s">
        <v>25</v>
      </c>
      <c r="D162" s="73" t="s">
        <v>242</v>
      </c>
      <c r="E162" s="61" t="s">
        <v>27</v>
      </c>
      <c r="F162" s="44">
        <v>45.01</v>
      </c>
      <c r="G162" s="45">
        <v>3.95</v>
      </c>
      <c r="H162" s="45">
        <f>TRUNC(G162*1.1903,2)</f>
        <v>4.7</v>
      </c>
      <c r="I162" s="45">
        <f>TRUNC(F162*H162,2)</f>
        <v>211.54</v>
      </c>
    </row>
    <row r="163" spans="1:9" ht="60" x14ac:dyDescent="0.25">
      <c r="A163" s="41" t="s">
        <v>249</v>
      </c>
      <c r="B163" s="41">
        <v>87529</v>
      </c>
      <c r="C163" s="41" t="s">
        <v>25</v>
      </c>
      <c r="D163" s="73" t="s">
        <v>250</v>
      </c>
      <c r="E163" s="61" t="s">
        <v>27</v>
      </c>
      <c r="F163" s="44">
        <v>55.85</v>
      </c>
      <c r="G163" s="45">
        <v>26.23</v>
      </c>
      <c r="H163" s="45">
        <f>TRUNC(G163*1.1903,2)</f>
        <v>31.22</v>
      </c>
      <c r="I163" s="45">
        <f>TRUNC(F163*H163,2)</f>
        <v>1743.63</v>
      </c>
    </row>
    <row r="164" spans="1:9" x14ac:dyDescent="0.25">
      <c r="A164" s="46"/>
      <c r="B164" s="47"/>
      <c r="C164" s="48"/>
      <c r="D164" s="49" t="s">
        <v>251</v>
      </c>
      <c r="E164" s="50" t="s">
        <v>31</v>
      </c>
      <c r="F164" s="67"/>
      <c r="G164" s="52"/>
      <c r="H164" s="52"/>
      <c r="I164" s="53">
        <f>SUM(I149:I163)</f>
        <v>38810.959999999999</v>
      </c>
    </row>
    <row r="165" spans="1:9" x14ac:dyDescent="0.25">
      <c r="A165" s="86" t="s">
        <v>252</v>
      </c>
      <c r="B165" s="86"/>
      <c r="C165" s="87"/>
      <c r="D165" s="88" t="s">
        <v>253</v>
      </c>
      <c r="E165" s="89"/>
      <c r="F165" s="78"/>
      <c r="G165" s="78"/>
      <c r="H165" s="78"/>
      <c r="I165" s="78"/>
    </row>
    <row r="166" spans="1:9" x14ac:dyDescent="0.25">
      <c r="A166" s="41"/>
      <c r="B166" s="41"/>
      <c r="C166" s="84"/>
      <c r="D166" s="74" t="s">
        <v>34</v>
      </c>
      <c r="E166" s="90"/>
      <c r="F166" s="45"/>
      <c r="G166" s="45"/>
      <c r="H166" s="45"/>
      <c r="I166" s="45"/>
    </row>
    <row r="167" spans="1:9" ht="36" x14ac:dyDescent="0.25">
      <c r="A167" s="41" t="s">
        <v>254</v>
      </c>
      <c r="B167" s="41">
        <v>87620</v>
      </c>
      <c r="C167" s="61" t="s">
        <v>25</v>
      </c>
      <c r="D167" s="73" t="s">
        <v>255</v>
      </c>
      <c r="E167" s="41" t="s">
        <v>27</v>
      </c>
      <c r="F167" s="44">
        <v>67.64</v>
      </c>
      <c r="G167" s="45">
        <v>25.58</v>
      </c>
      <c r="H167" s="45">
        <f t="shared" ref="H167:H173" si="14">TRUNC(G167*1.1903,2)</f>
        <v>30.44</v>
      </c>
      <c r="I167" s="45">
        <f t="shared" ref="I167:I173" si="15">TRUNC(F167*H167,2)</f>
        <v>2058.96</v>
      </c>
    </row>
    <row r="168" spans="1:9" ht="36" x14ac:dyDescent="0.25">
      <c r="A168" s="41" t="s">
        <v>256</v>
      </c>
      <c r="B168" s="41">
        <v>94992</v>
      </c>
      <c r="C168" s="61" t="s">
        <v>25</v>
      </c>
      <c r="D168" s="64" t="s">
        <v>257</v>
      </c>
      <c r="E168" s="41" t="s">
        <v>27</v>
      </c>
      <c r="F168" s="44">
        <f>86+3.43</f>
        <v>89.43</v>
      </c>
      <c r="G168" s="45">
        <v>62.28</v>
      </c>
      <c r="H168" s="45">
        <f t="shared" si="14"/>
        <v>74.13</v>
      </c>
      <c r="I168" s="45">
        <f t="shared" si="15"/>
        <v>6629.44</v>
      </c>
    </row>
    <row r="169" spans="1:9" ht="24" x14ac:dyDescent="0.25">
      <c r="A169" s="41" t="s">
        <v>258</v>
      </c>
      <c r="B169" s="91">
        <v>84191</v>
      </c>
      <c r="C169" s="61" t="s">
        <v>25</v>
      </c>
      <c r="D169" s="73" t="s">
        <v>259</v>
      </c>
      <c r="E169" s="41" t="s">
        <v>27</v>
      </c>
      <c r="F169" s="44">
        <v>67.64</v>
      </c>
      <c r="G169" s="45">
        <v>108.43</v>
      </c>
      <c r="H169" s="45">
        <f t="shared" si="14"/>
        <v>129.06</v>
      </c>
      <c r="I169" s="45">
        <f t="shared" si="15"/>
        <v>8729.61</v>
      </c>
    </row>
    <row r="170" spans="1:9" x14ac:dyDescent="0.25">
      <c r="A170" s="41" t="s">
        <v>260</v>
      </c>
      <c r="B170" s="41" t="s">
        <v>261</v>
      </c>
      <c r="C170" s="61" t="s">
        <v>25</v>
      </c>
      <c r="D170" s="73" t="s">
        <v>262</v>
      </c>
      <c r="E170" s="41" t="s">
        <v>263</v>
      </c>
      <c r="F170" s="44">
        <v>62.9</v>
      </c>
      <c r="G170" s="45">
        <v>25.06</v>
      </c>
      <c r="H170" s="45">
        <f t="shared" si="14"/>
        <v>29.82</v>
      </c>
      <c r="I170" s="45">
        <f t="shared" si="15"/>
        <v>1875.67</v>
      </c>
    </row>
    <row r="171" spans="1:9" ht="24" x14ac:dyDescent="0.25">
      <c r="A171" s="41" t="s">
        <v>264</v>
      </c>
      <c r="B171" s="41">
        <v>84663</v>
      </c>
      <c r="C171" s="61" t="s">
        <v>25</v>
      </c>
      <c r="D171" s="73" t="s">
        <v>265</v>
      </c>
      <c r="E171" s="41" t="s">
        <v>27</v>
      </c>
      <c r="F171" s="44">
        <f>F169+(F170*0.1)</f>
        <v>73.930000000000007</v>
      </c>
      <c r="G171" s="45">
        <v>20.28</v>
      </c>
      <c r="H171" s="45">
        <f t="shared" si="14"/>
        <v>24.13</v>
      </c>
      <c r="I171" s="45">
        <f t="shared" si="15"/>
        <v>1783.93</v>
      </c>
    </row>
    <row r="172" spans="1:9" x14ac:dyDescent="0.25">
      <c r="A172" s="41" t="s">
        <v>266</v>
      </c>
      <c r="B172" s="41">
        <v>98689</v>
      </c>
      <c r="C172" s="61" t="s">
        <v>25</v>
      </c>
      <c r="D172" s="73" t="s">
        <v>267</v>
      </c>
      <c r="E172" s="41" t="s">
        <v>60</v>
      </c>
      <c r="F172" s="44">
        <v>2.9</v>
      </c>
      <c r="G172" s="45">
        <v>76.88</v>
      </c>
      <c r="H172" s="45">
        <f t="shared" si="14"/>
        <v>91.51</v>
      </c>
      <c r="I172" s="45">
        <f t="shared" si="15"/>
        <v>265.37</v>
      </c>
    </row>
    <row r="173" spans="1:9" ht="36" x14ac:dyDescent="0.25">
      <c r="A173" s="41" t="s">
        <v>268</v>
      </c>
      <c r="B173" s="41">
        <v>87249</v>
      </c>
      <c r="C173" s="61" t="s">
        <v>25</v>
      </c>
      <c r="D173" s="73" t="s">
        <v>269</v>
      </c>
      <c r="E173" s="41" t="s">
        <v>27</v>
      </c>
      <c r="F173" s="44">
        <v>3.45</v>
      </c>
      <c r="G173" s="45">
        <v>44.67</v>
      </c>
      <c r="H173" s="45">
        <f t="shared" si="14"/>
        <v>53.17</v>
      </c>
      <c r="I173" s="45">
        <f t="shared" si="15"/>
        <v>183.43</v>
      </c>
    </row>
    <row r="174" spans="1:9" x14ac:dyDescent="0.25">
      <c r="A174" s="41"/>
      <c r="B174" s="41"/>
      <c r="C174" s="41"/>
      <c r="D174" s="59" t="s">
        <v>204</v>
      </c>
      <c r="E174" s="41"/>
      <c r="F174" s="66"/>
      <c r="G174" s="60"/>
      <c r="H174" s="60"/>
      <c r="I174" s="60"/>
    </row>
    <row r="175" spans="1:9" ht="36" x14ac:dyDescent="0.25">
      <c r="A175" s="41" t="s">
        <v>270</v>
      </c>
      <c r="B175" s="41">
        <v>94992</v>
      </c>
      <c r="C175" s="61" t="s">
        <v>25</v>
      </c>
      <c r="D175" s="64" t="s">
        <v>257</v>
      </c>
      <c r="E175" s="41" t="s">
        <v>27</v>
      </c>
      <c r="F175" s="44">
        <f>62.8</f>
        <v>62.8</v>
      </c>
      <c r="G175" s="45">
        <v>62.28</v>
      </c>
      <c r="H175" s="45">
        <f t="shared" ref="H175:H183" si="16">TRUNC(G175*1.1903,2)</f>
        <v>74.13</v>
      </c>
      <c r="I175" s="45">
        <f t="shared" ref="I175:I183" si="17">TRUNC(F175*H175,2)</f>
        <v>4655.3599999999997</v>
      </c>
    </row>
    <row r="176" spans="1:9" ht="36" x14ac:dyDescent="0.25">
      <c r="A176" s="41" t="s">
        <v>271</v>
      </c>
      <c r="B176" s="41">
        <v>87620</v>
      </c>
      <c r="C176" s="61" t="s">
        <v>25</v>
      </c>
      <c r="D176" s="73" t="s">
        <v>272</v>
      </c>
      <c r="E176" s="41" t="s">
        <v>27</v>
      </c>
      <c r="F176" s="44">
        <v>307.17</v>
      </c>
      <c r="G176" s="45">
        <v>25.58</v>
      </c>
      <c r="H176" s="45">
        <f t="shared" si="16"/>
        <v>30.44</v>
      </c>
      <c r="I176" s="45">
        <f t="shared" si="17"/>
        <v>9350.25</v>
      </c>
    </row>
    <row r="177" spans="1:9" ht="36" x14ac:dyDescent="0.25">
      <c r="A177" s="41" t="s">
        <v>273</v>
      </c>
      <c r="B177" s="41">
        <v>87765</v>
      </c>
      <c r="C177" s="61" t="s">
        <v>25</v>
      </c>
      <c r="D177" s="73" t="s">
        <v>274</v>
      </c>
      <c r="E177" s="41" t="s">
        <v>27</v>
      </c>
      <c r="F177" s="44">
        <v>52.52</v>
      </c>
      <c r="G177" s="45">
        <v>42.1</v>
      </c>
      <c r="H177" s="45">
        <f t="shared" si="16"/>
        <v>50.11</v>
      </c>
      <c r="I177" s="45">
        <f t="shared" si="17"/>
        <v>2631.77</v>
      </c>
    </row>
    <row r="178" spans="1:9" ht="36" x14ac:dyDescent="0.25">
      <c r="A178" s="41" t="s">
        <v>275</v>
      </c>
      <c r="B178" s="41">
        <v>94992</v>
      </c>
      <c r="C178" s="61" t="s">
        <v>25</v>
      </c>
      <c r="D178" s="64" t="s">
        <v>257</v>
      </c>
      <c r="E178" s="41" t="s">
        <v>27</v>
      </c>
      <c r="F178" s="44">
        <v>15.4</v>
      </c>
      <c r="G178" s="45">
        <v>62.28</v>
      </c>
      <c r="H178" s="45">
        <f t="shared" si="16"/>
        <v>74.13</v>
      </c>
      <c r="I178" s="45">
        <f t="shared" si="17"/>
        <v>1141.5999999999999</v>
      </c>
    </row>
    <row r="179" spans="1:9" x14ac:dyDescent="0.25">
      <c r="A179" s="41" t="s">
        <v>276</v>
      </c>
      <c r="B179" s="41" t="s">
        <v>261</v>
      </c>
      <c r="C179" s="61" t="s">
        <v>25</v>
      </c>
      <c r="D179" s="73" t="s">
        <v>262</v>
      </c>
      <c r="E179" s="41" t="s">
        <v>263</v>
      </c>
      <c r="F179" s="44">
        <v>125.74</v>
      </c>
      <c r="G179" s="45">
        <v>25.06</v>
      </c>
      <c r="H179" s="45">
        <f t="shared" si="16"/>
        <v>29.82</v>
      </c>
      <c r="I179" s="45">
        <f t="shared" si="17"/>
        <v>3749.56</v>
      </c>
    </row>
    <row r="180" spans="1:9" ht="24" x14ac:dyDescent="0.25">
      <c r="A180" s="41" t="s">
        <v>277</v>
      </c>
      <c r="B180" s="41">
        <v>84191</v>
      </c>
      <c r="C180" s="61" t="s">
        <v>25</v>
      </c>
      <c r="D180" s="73" t="s">
        <v>278</v>
      </c>
      <c r="E180" s="41" t="s">
        <v>27</v>
      </c>
      <c r="F180" s="44">
        <f>307.17+30</f>
        <v>337.17</v>
      </c>
      <c r="G180" s="45">
        <v>108.43</v>
      </c>
      <c r="H180" s="45">
        <f t="shared" si="16"/>
        <v>129.06</v>
      </c>
      <c r="I180" s="45">
        <f t="shared" si="17"/>
        <v>43515.16</v>
      </c>
    </row>
    <row r="181" spans="1:9" ht="24" x14ac:dyDescent="0.25">
      <c r="A181" s="41" t="s">
        <v>279</v>
      </c>
      <c r="B181" s="41">
        <v>84663</v>
      </c>
      <c r="C181" s="61" t="s">
        <v>25</v>
      </c>
      <c r="D181" s="73" t="s">
        <v>265</v>
      </c>
      <c r="E181" s="41" t="s">
        <v>27</v>
      </c>
      <c r="F181" s="44">
        <v>349.74</v>
      </c>
      <c r="G181" s="45">
        <v>20.28</v>
      </c>
      <c r="H181" s="45">
        <f t="shared" si="16"/>
        <v>24.13</v>
      </c>
      <c r="I181" s="45">
        <f t="shared" si="17"/>
        <v>8439.2199999999993</v>
      </c>
    </row>
    <row r="182" spans="1:9" ht="36" x14ac:dyDescent="0.25">
      <c r="A182" s="41" t="s">
        <v>280</v>
      </c>
      <c r="B182" s="41">
        <v>87251</v>
      </c>
      <c r="C182" s="61" t="s">
        <v>25</v>
      </c>
      <c r="D182" s="73" t="s">
        <v>281</v>
      </c>
      <c r="E182" s="41" t="s">
        <v>27</v>
      </c>
      <c r="F182" s="44">
        <v>22.52</v>
      </c>
      <c r="G182" s="45">
        <v>30.01</v>
      </c>
      <c r="H182" s="45">
        <f t="shared" si="16"/>
        <v>35.72</v>
      </c>
      <c r="I182" s="45">
        <f t="shared" si="17"/>
        <v>804.41</v>
      </c>
    </row>
    <row r="183" spans="1:9" x14ac:dyDescent="0.25">
      <c r="A183" s="41" t="s">
        <v>282</v>
      </c>
      <c r="B183" s="41">
        <v>98689</v>
      </c>
      <c r="C183" s="61" t="s">
        <v>25</v>
      </c>
      <c r="D183" s="73" t="s">
        <v>267</v>
      </c>
      <c r="E183" s="41" t="s">
        <v>60</v>
      </c>
      <c r="F183" s="44">
        <v>12</v>
      </c>
      <c r="G183" s="45">
        <v>76.88</v>
      </c>
      <c r="H183" s="45">
        <f t="shared" si="16"/>
        <v>91.51</v>
      </c>
      <c r="I183" s="45">
        <f t="shared" si="17"/>
        <v>1098.1199999999999</v>
      </c>
    </row>
    <row r="184" spans="1:9" x14ac:dyDescent="0.25">
      <c r="A184" s="41"/>
      <c r="B184" s="41"/>
      <c r="C184" s="41"/>
      <c r="D184" s="74" t="s">
        <v>99</v>
      </c>
      <c r="E184" s="41"/>
      <c r="F184" s="66"/>
      <c r="G184" s="60"/>
      <c r="H184" s="60"/>
      <c r="I184" s="60"/>
    </row>
    <row r="185" spans="1:9" ht="36" x14ac:dyDescent="0.25">
      <c r="A185" s="41" t="s">
        <v>283</v>
      </c>
      <c r="B185" s="41">
        <v>98680</v>
      </c>
      <c r="C185" s="61" t="s">
        <v>25</v>
      </c>
      <c r="D185" s="73" t="s">
        <v>284</v>
      </c>
      <c r="E185" s="41" t="s">
        <v>27</v>
      </c>
      <c r="F185" s="44">
        <v>2.58</v>
      </c>
      <c r="G185" s="45">
        <v>33.17</v>
      </c>
      <c r="H185" s="45">
        <f>TRUNC(G185*1.1903,2)</f>
        <v>39.479999999999997</v>
      </c>
      <c r="I185" s="45">
        <f>TRUNC(F185*H185,2)</f>
        <v>101.85</v>
      </c>
    </row>
    <row r="186" spans="1:9" x14ac:dyDescent="0.25">
      <c r="A186" s="46"/>
      <c r="B186" s="47"/>
      <c r="C186" s="48"/>
      <c r="D186" s="49" t="s">
        <v>285</v>
      </c>
      <c r="E186" s="50" t="s">
        <v>31</v>
      </c>
      <c r="F186" s="67"/>
      <c r="G186" s="52"/>
      <c r="H186" s="52"/>
      <c r="I186" s="53">
        <f>SUM(I167:I185)</f>
        <v>97013.71</v>
      </c>
    </row>
    <row r="187" spans="1:9" x14ac:dyDescent="0.25">
      <c r="A187" s="76" t="s">
        <v>286</v>
      </c>
      <c r="B187" s="76"/>
      <c r="C187" s="76"/>
      <c r="D187" s="39" t="s">
        <v>287</v>
      </c>
      <c r="E187" s="55"/>
      <c r="F187" s="79"/>
      <c r="G187" s="57"/>
      <c r="H187" s="57"/>
      <c r="I187" s="57"/>
    </row>
    <row r="188" spans="1:9" x14ac:dyDescent="0.25">
      <c r="A188" s="81"/>
      <c r="B188" s="61"/>
      <c r="C188" s="61"/>
      <c r="D188" s="74" t="s">
        <v>288</v>
      </c>
      <c r="E188" s="61"/>
      <c r="F188" s="45"/>
      <c r="G188" s="45"/>
      <c r="H188" s="45"/>
      <c r="I188" s="45"/>
    </row>
    <row r="189" spans="1:9" ht="60" x14ac:dyDescent="0.25">
      <c r="A189" s="61" t="s">
        <v>289</v>
      </c>
      <c r="B189" s="61" t="s">
        <v>290</v>
      </c>
      <c r="C189" s="82" t="s">
        <v>211</v>
      </c>
      <c r="D189" s="73" t="s">
        <v>291</v>
      </c>
      <c r="E189" s="41" t="s">
        <v>27</v>
      </c>
      <c r="F189" s="44">
        <v>30.26</v>
      </c>
      <c r="G189" s="45">
        <f>Composição!H599</f>
        <v>79.908999999999992</v>
      </c>
      <c r="H189" s="45">
        <f t="shared" ref="H189:H195" si="18">TRUNC(G189*1.1903,2)</f>
        <v>95.11</v>
      </c>
      <c r="I189" s="45">
        <f t="shared" ref="I189:I195" si="19">TRUNC(F189*H189,2)</f>
        <v>2878.02</v>
      </c>
    </row>
    <row r="190" spans="1:9" ht="24" x14ac:dyDescent="0.25">
      <c r="A190" s="61" t="s">
        <v>292</v>
      </c>
      <c r="B190" s="61">
        <v>94216</v>
      </c>
      <c r="C190" s="61" t="s">
        <v>25</v>
      </c>
      <c r="D190" s="73" t="s">
        <v>293</v>
      </c>
      <c r="E190" s="61" t="s">
        <v>27</v>
      </c>
      <c r="F190" s="44">
        <v>30.26</v>
      </c>
      <c r="G190" s="45">
        <v>123.19</v>
      </c>
      <c r="H190" s="45">
        <f t="shared" si="18"/>
        <v>146.63</v>
      </c>
      <c r="I190" s="45">
        <f t="shared" si="19"/>
        <v>4437.0200000000004</v>
      </c>
    </row>
    <row r="191" spans="1:9" ht="24" x14ac:dyDescent="0.25">
      <c r="A191" s="61" t="s">
        <v>294</v>
      </c>
      <c r="B191" s="41">
        <v>94229</v>
      </c>
      <c r="C191" s="61" t="s">
        <v>25</v>
      </c>
      <c r="D191" s="73" t="s">
        <v>295</v>
      </c>
      <c r="E191" s="41" t="s">
        <v>263</v>
      </c>
      <c r="F191" s="44">
        <v>9.83</v>
      </c>
      <c r="G191" s="45">
        <v>108.3</v>
      </c>
      <c r="H191" s="45">
        <f t="shared" si="18"/>
        <v>128.9</v>
      </c>
      <c r="I191" s="45">
        <f t="shared" si="19"/>
        <v>1267.08</v>
      </c>
    </row>
    <row r="192" spans="1:9" ht="24" x14ac:dyDescent="0.25">
      <c r="A192" s="61" t="s">
        <v>296</v>
      </c>
      <c r="B192" s="41">
        <v>94231</v>
      </c>
      <c r="C192" s="61" t="s">
        <v>25</v>
      </c>
      <c r="D192" s="73" t="s">
        <v>297</v>
      </c>
      <c r="E192" s="41" t="s">
        <v>60</v>
      </c>
      <c r="F192" s="44">
        <f>3.35+3.8+8</f>
        <v>15.15</v>
      </c>
      <c r="G192" s="45">
        <v>28.84</v>
      </c>
      <c r="H192" s="45">
        <f t="shared" si="18"/>
        <v>34.32</v>
      </c>
      <c r="I192" s="45">
        <f t="shared" si="19"/>
        <v>519.94000000000005</v>
      </c>
    </row>
    <row r="193" spans="1:9" ht="24" x14ac:dyDescent="0.25">
      <c r="A193" s="61" t="s">
        <v>298</v>
      </c>
      <c r="B193" s="61">
        <v>89580</v>
      </c>
      <c r="C193" s="61" t="s">
        <v>25</v>
      </c>
      <c r="D193" s="73" t="s">
        <v>299</v>
      </c>
      <c r="E193" s="41" t="s">
        <v>263</v>
      </c>
      <c r="F193" s="44">
        <f>3.3+3.3+13</f>
        <v>19.600000000000001</v>
      </c>
      <c r="G193" s="45">
        <v>48.24</v>
      </c>
      <c r="H193" s="45">
        <f t="shared" si="18"/>
        <v>57.42</v>
      </c>
      <c r="I193" s="45">
        <f t="shared" si="19"/>
        <v>1125.43</v>
      </c>
    </row>
    <row r="194" spans="1:9" ht="36" x14ac:dyDescent="0.25">
      <c r="A194" s="61" t="s">
        <v>300</v>
      </c>
      <c r="B194" s="41">
        <v>89590</v>
      </c>
      <c r="C194" s="61" t="s">
        <v>25</v>
      </c>
      <c r="D194" s="73" t="s">
        <v>301</v>
      </c>
      <c r="E194" s="42" t="s">
        <v>46</v>
      </c>
      <c r="F194" s="44">
        <f>1+3</f>
        <v>4</v>
      </c>
      <c r="G194" s="45">
        <v>70.38</v>
      </c>
      <c r="H194" s="45">
        <f t="shared" si="18"/>
        <v>83.77</v>
      </c>
      <c r="I194" s="45">
        <f t="shared" si="19"/>
        <v>335.08</v>
      </c>
    </row>
    <row r="195" spans="1:9" ht="36" x14ac:dyDescent="0.25">
      <c r="A195" s="61" t="s">
        <v>302</v>
      </c>
      <c r="B195" s="41">
        <v>89701</v>
      </c>
      <c r="C195" s="61" t="s">
        <v>25</v>
      </c>
      <c r="D195" s="73" t="s">
        <v>303</v>
      </c>
      <c r="E195" s="42" t="s">
        <v>46</v>
      </c>
      <c r="F195" s="44">
        <v>1</v>
      </c>
      <c r="G195" s="45">
        <v>82.14</v>
      </c>
      <c r="H195" s="45">
        <f t="shared" si="18"/>
        <v>97.77</v>
      </c>
      <c r="I195" s="45">
        <f t="shared" si="19"/>
        <v>97.77</v>
      </c>
    </row>
    <row r="196" spans="1:9" x14ac:dyDescent="0.25">
      <c r="A196" s="41"/>
      <c r="B196" s="41"/>
      <c r="C196" s="61"/>
      <c r="D196" s="74" t="s">
        <v>304</v>
      </c>
      <c r="E196" s="41"/>
      <c r="F196" s="45"/>
      <c r="G196" s="45"/>
      <c r="H196" s="45"/>
      <c r="I196" s="45"/>
    </row>
    <row r="197" spans="1:9" ht="60" x14ac:dyDescent="0.25">
      <c r="A197" s="41" t="s">
        <v>305</v>
      </c>
      <c r="B197" s="61" t="s">
        <v>290</v>
      </c>
      <c r="C197" s="82" t="s">
        <v>211</v>
      </c>
      <c r="D197" s="73" t="s">
        <v>291</v>
      </c>
      <c r="E197" s="41" t="s">
        <v>27</v>
      </c>
      <c r="F197" s="44">
        <v>123.6</v>
      </c>
      <c r="G197" s="45">
        <f>Composição!H599</f>
        <v>79.908999999999992</v>
      </c>
      <c r="H197" s="45">
        <f>TRUNC(G197*1.1903,2)</f>
        <v>95.11</v>
      </c>
      <c r="I197" s="45">
        <f>TRUNC(F197*H197,2)</f>
        <v>11755.59</v>
      </c>
    </row>
    <row r="198" spans="1:9" ht="24" x14ac:dyDescent="0.25">
      <c r="A198" s="41" t="s">
        <v>306</v>
      </c>
      <c r="B198" s="61">
        <v>94216</v>
      </c>
      <c r="C198" s="61" t="s">
        <v>25</v>
      </c>
      <c r="D198" s="73" t="s">
        <v>293</v>
      </c>
      <c r="E198" s="61" t="s">
        <v>27</v>
      </c>
      <c r="F198" s="44">
        <v>124.6</v>
      </c>
      <c r="G198" s="45">
        <v>123.19</v>
      </c>
      <c r="H198" s="45">
        <f>TRUNC(G198*1.1903,2)</f>
        <v>146.63</v>
      </c>
      <c r="I198" s="45">
        <f>TRUNC(F198*H198,2)</f>
        <v>18270.09</v>
      </c>
    </row>
    <row r="199" spans="1:9" ht="24" x14ac:dyDescent="0.25">
      <c r="A199" s="41" t="s">
        <v>307</v>
      </c>
      <c r="B199" s="41" t="s">
        <v>308</v>
      </c>
      <c r="C199" s="41" t="s">
        <v>42</v>
      </c>
      <c r="D199" s="73" t="s">
        <v>309</v>
      </c>
      <c r="E199" s="41" t="s">
        <v>60</v>
      </c>
      <c r="F199" s="44">
        <v>19</v>
      </c>
      <c r="G199" s="45">
        <f>Composição!H166</f>
        <v>49.588311000000004</v>
      </c>
      <c r="H199" s="45">
        <f>TRUNC(G199*1.1903,2)</f>
        <v>59.02</v>
      </c>
      <c r="I199" s="45">
        <f>TRUNC(F199*H199,2)</f>
        <v>1121.3800000000001</v>
      </c>
    </row>
    <row r="200" spans="1:9" x14ac:dyDescent="0.25">
      <c r="A200" s="41"/>
      <c r="B200" s="41"/>
      <c r="C200" s="61"/>
      <c r="D200" s="74" t="s">
        <v>310</v>
      </c>
      <c r="E200" s="41"/>
      <c r="F200" s="45"/>
      <c r="G200" s="45"/>
      <c r="H200" s="45"/>
      <c r="I200" s="45"/>
    </row>
    <row r="201" spans="1:9" ht="60" x14ac:dyDescent="0.25">
      <c r="A201" s="41" t="s">
        <v>311</v>
      </c>
      <c r="B201" s="61" t="s">
        <v>290</v>
      </c>
      <c r="C201" s="82" t="s">
        <v>211</v>
      </c>
      <c r="D201" s="73" t="s">
        <v>312</v>
      </c>
      <c r="E201" s="41" t="s">
        <v>27</v>
      </c>
      <c r="F201" s="44">
        <v>15.4</v>
      </c>
      <c r="G201" s="45">
        <f>Composição!H599</f>
        <v>79.908999999999992</v>
      </c>
      <c r="H201" s="45">
        <f t="shared" ref="H201:H206" si="20">TRUNC(G201*1.1903,2)</f>
        <v>95.11</v>
      </c>
      <c r="I201" s="45">
        <f t="shared" ref="I201:I206" si="21">TRUNC(F201*H201,2)</f>
        <v>1464.69</v>
      </c>
    </row>
    <row r="202" spans="1:9" ht="24" x14ac:dyDescent="0.25">
      <c r="A202" s="41" t="s">
        <v>313</v>
      </c>
      <c r="B202" s="61">
        <v>94216</v>
      </c>
      <c r="C202" s="61" t="s">
        <v>25</v>
      </c>
      <c r="D202" s="73" t="s">
        <v>314</v>
      </c>
      <c r="E202" s="61" t="s">
        <v>27</v>
      </c>
      <c r="F202" s="44">
        <f>3.85*2*2</f>
        <v>15.4</v>
      </c>
      <c r="G202" s="45">
        <v>123.19</v>
      </c>
      <c r="H202" s="45">
        <f t="shared" si="20"/>
        <v>146.63</v>
      </c>
      <c r="I202" s="45">
        <f t="shared" si="21"/>
        <v>2258.1</v>
      </c>
    </row>
    <row r="203" spans="1:9" ht="36" x14ac:dyDescent="0.25">
      <c r="A203" s="41" t="s">
        <v>315</v>
      </c>
      <c r="B203" s="41">
        <v>94228</v>
      </c>
      <c r="C203" s="61" t="s">
        <v>25</v>
      </c>
      <c r="D203" s="73" t="s">
        <v>316</v>
      </c>
      <c r="E203" s="41" t="s">
        <v>263</v>
      </c>
      <c r="F203" s="44">
        <v>3.85</v>
      </c>
      <c r="G203" s="45">
        <v>55.69</v>
      </c>
      <c r="H203" s="45">
        <f t="shared" si="20"/>
        <v>66.28</v>
      </c>
      <c r="I203" s="45">
        <f t="shared" si="21"/>
        <v>255.17</v>
      </c>
    </row>
    <row r="204" spans="1:9" ht="24" x14ac:dyDescent="0.25">
      <c r="A204" s="41" t="s">
        <v>317</v>
      </c>
      <c r="B204" s="41">
        <v>94231</v>
      </c>
      <c r="C204" s="61" t="s">
        <v>25</v>
      </c>
      <c r="D204" s="73" t="s">
        <v>297</v>
      </c>
      <c r="E204" s="41" t="s">
        <v>60</v>
      </c>
      <c r="F204" s="44">
        <v>7.85</v>
      </c>
      <c r="G204" s="45">
        <v>28.84</v>
      </c>
      <c r="H204" s="45">
        <f t="shared" si="20"/>
        <v>34.32</v>
      </c>
      <c r="I204" s="45">
        <f t="shared" si="21"/>
        <v>269.41000000000003</v>
      </c>
    </row>
    <row r="205" spans="1:9" ht="24" x14ac:dyDescent="0.25">
      <c r="A205" s="41" t="s">
        <v>318</v>
      </c>
      <c r="B205" s="41">
        <v>89512</v>
      </c>
      <c r="C205" s="61" t="s">
        <v>25</v>
      </c>
      <c r="D205" s="73" t="s">
        <v>319</v>
      </c>
      <c r="E205" s="41" t="s">
        <v>60</v>
      </c>
      <c r="F205" s="44">
        <f>3.6*2</f>
        <v>7.2</v>
      </c>
      <c r="G205" s="45">
        <v>42.01</v>
      </c>
      <c r="H205" s="45">
        <f t="shared" si="20"/>
        <v>50</v>
      </c>
      <c r="I205" s="45">
        <f t="shared" si="21"/>
        <v>360</v>
      </c>
    </row>
    <row r="206" spans="1:9" ht="36" x14ac:dyDescent="0.25">
      <c r="A206" s="41" t="s">
        <v>320</v>
      </c>
      <c r="B206" s="41">
        <v>89529</v>
      </c>
      <c r="C206" s="61" t="s">
        <v>25</v>
      </c>
      <c r="D206" s="73" t="s">
        <v>321</v>
      </c>
      <c r="E206" s="42" t="s">
        <v>46</v>
      </c>
      <c r="F206" s="44">
        <f>3*2</f>
        <v>6</v>
      </c>
      <c r="G206" s="45">
        <v>24.45</v>
      </c>
      <c r="H206" s="45">
        <f t="shared" si="20"/>
        <v>29.1</v>
      </c>
      <c r="I206" s="45">
        <f t="shared" si="21"/>
        <v>174.6</v>
      </c>
    </row>
    <row r="207" spans="1:9" x14ac:dyDescent="0.25">
      <c r="A207" s="61"/>
      <c r="B207" s="61"/>
      <c r="C207" s="61"/>
      <c r="D207" s="74" t="s">
        <v>172</v>
      </c>
      <c r="E207" s="61"/>
      <c r="F207" s="44"/>
      <c r="G207" s="45"/>
      <c r="H207" s="45"/>
      <c r="I207" s="45"/>
    </row>
    <row r="208" spans="1:9" ht="60" x14ac:dyDescent="0.25">
      <c r="A208" s="61" t="s">
        <v>322</v>
      </c>
      <c r="B208" s="61" t="s">
        <v>290</v>
      </c>
      <c r="C208" s="82" t="s">
        <v>211</v>
      </c>
      <c r="D208" s="73" t="s">
        <v>312</v>
      </c>
      <c r="E208" s="41" t="s">
        <v>27</v>
      </c>
      <c r="F208" s="44">
        <v>30</v>
      </c>
      <c r="G208" s="45">
        <f>Composição!H599</f>
        <v>79.908999999999992</v>
      </c>
      <c r="H208" s="45">
        <f t="shared" ref="H208:H214" si="22">TRUNC(G208*1.1903,2)</f>
        <v>95.11</v>
      </c>
      <c r="I208" s="45">
        <f t="shared" ref="I208:I214" si="23">TRUNC(F208*H208,2)</f>
        <v>2853.3</v>
      </c>
    </row>
    <row r="209" spans="1:9" ht="24" x14ac:dyDescent="0.25">
      <c r="A209" s="61" t="s">
        <v>323</v>
      </c>
      <c r="B209" s="61">
        <v>94216</v>
      </c>
      <c r="C209" s="61" t="s">
        <v>25</v>
      </c>
      <c r="D209" s="73" t="s">
        <v>314</v>
      </c>
      <c r="E209" s="61" t="s">
        <v>27</v>
      </c>
      <c r="F209" s="44">
        <f>15*2</f>
        <v>30</v>
      </c>
      <c r="G209" s="45">
        <v>123.19</v>
      </c>
      <c r="H209" s="45">
        <f t="shared" si="22"/>
        <v>146.63</v>
      </c>
      <c r="I209" s="45">
        <f t="shared" si="23"/>
        <v>4398.8999999999996</v>
      </c>
    </row>
    <row r="210" spans="1:9" x14ac:dyDescent="0.25">
      <c r="A210" s="61" t="s">
        <v>324</v>
      </c>
      <c r="B210" s="61" t="s">
        <v>325</v>
      </c>
      <c r="C210" s="61" t="s">
        <v>42</v>
      </c>
      <c r="D210" s="73" t="s">
        <v>326</v>
      </c>
      <c r="E210" s="61" t="s">
        <v>263</v>
      </c>
      <c r="F210" s="44">
        <v>19</v>
      </c>
      <c r="G210" s="45">
        <f>Composição!H75</f>
        <v>101.04419999999999</v>
      </c>
      <c r="H210" s="45">
        <f t="shared" si="22"/>
        <v>120.27</v>
      </c>
      <c r="I210" s="45">
        <f t="shared" si="23"/>
        <v>2285.13</v>
      </c>
    </row>
    <row r="211" spans="1:9" ht="24" x14ac:dyDescent="0.25">
      <c r="A211" s="61" t="s">
        <v>327</v>
      </c>
      <c r="B211" s="41">
        <v>94229</v>
      </c>
      <c r="C211" s="61" t="s">
        <v>25</v>
      </c>
      <c r="D211" s="73" t="s">
        <v>295</v>
      </c>
      <c r="E211" s="41" t="s">
        <v>263</v>
      </c>
      <c r="F211" s="44">
        <v>15</v>
      </c>
      <c r="G211" s="45">
        <v>108.3</v>
      </c>
      <c r="H211" s="45">
        <f t="shared" si="22"/>
        <v>128.9</v>
      </c>
      <c r="I211" s="45">
        <f t="shared" si="23"/>
        <v>1933.5</v>
      </c>
    </row>
    <row r="212" spans="1:9" ht="24" x14ac:dyDescent="0.25">
      <c r="A212" s="61" t="s">
        <v>328</v>
      </c>
      <c r="B212" s="41">
        <v>94231</v>
      </c>
      <c r="C212" s="61" t="s">
        <v>25</v>
      </c>
      <c r="D212" s="73" t="s">
        <v>297</v>
      </c>
      <c r="E212" s="41" t="s">
        <v>60</v>
      </c>
      <c r="F212" s="44">
        <f>15+2+2</f>
        <v>19</v>
      </c>
      <c r="G212" s="45">
        <v>28.84</v>
      </c>
      <c r="H212" s="45">
        <f t="shared" si="22"/>
        <v>34.32</v>
      </c>
      <c r="I212" s="45">
        <f t="shared" si="23"/>
        <v>652.08000000000004</v>
      </c>
    </row>
    <row r="213" spans="1:9" ht="24" x14ac:dyDescent="0.25">
      <c r="A213" s="61" t="s">
        <v>329</v>
      </c>
      <c r="B213" s="61">
        <v>89580</v>
      </c>
      <c r="C213" s="61" t="s">
        <v>25</v>
      </c>
      <c r="D213" s="73" t="s">
        <v>299</v>
      </c>
      <c r="E213" s="41" t="s">
        <v>263</v>
      </c>
      <c r="F213" s="44">
        <f>3.6+3.6+12</f>
        <v>19.2</v>
      </c>
      <c r="G213" s="45">
        <v>48.24</v>
      </c>
      <c r="H213" s="45">
        <f t="shared" si="22"/>
        <v>57.42</v>
      </c>
      <c r="I213" s="45">
        <f t="shared" si="23"/>
        <v>1102.46</v>
      </c>
    </row>
    <row r="214" spans="1:9" ht="36" x14ac:dyDescent="0.25">
      <c r="A214" s="61" t="s">
        <v>330</v>
      </c>
      <c r="B214" s="41">
        <v>89590</v>
      </c>
      <c r="C214" s="61" t="s">
        <v>25</v>
      </c>
      <c r="D214" s="73" t="s">
        <v>301</v>
      </c>
      <c r="E214" s="42" t="s">
        <v>46</v>
      </c>
      <c r="F214" s="44">
        <f>3*2</f>
        <v>6</v>
      </c>
      <c r="G214" s="45">
        <v>70.38</v>
      </c>
      <c r="H214" s="45">
        <f t="shared" si="22"/>
        <v>83.77</v>
      </c>
      <c r="I214" s="45">
        <f t="shared" si="23"/>
        <v>502.62</v>
      </c>
    </row>
    <row r="215" spans="1:9" x14ac:dyDescent="0.25">
      <c r="A215" s="61"/>
      <c r="B215" s="61"/>
      <c r="C215" s="61"/>
      <c r="D215" s="74" t="s">
        <v>331</v>
      </c>
      <c r="E215" s="61"/>
      <c r="F215" s="45"/>
      <c r="G215" s="45"/>
      <c r="H215" s="45"/>
      <c r="I215" s="45"/>
    </row>
    <row r="216" spans="1:9" ht="60" x14ac:dyDescent="0.25">
      <c r="A216" s="61" t="s">
        <v>332</v>
      </c>
      <c r="B216" s="61" t="s">
        <v>290</v>
      </c>
      <c r="C216" s="82" t="s">
        <v>211</v>
      </c>
      <c r="D216" s="73" t="s">
        <v>291</v>
      </c>
      <c r="E216" s="61" t="s">
        <v>27</v>
      </c>
      <c r="F216" s="44">
        <v>68.17</v>
      </c>
      <c r="G216" s="45">
        <f>Composição!H599</f>
        <v>79.908999999999992</v>
      </c>
      <c r="H216" s="45">
        <f t="shared" ref="H216:H221" si="24">TRUNC(G216*1.1903,2)</f>
        <v>95.11</v>
      </c>
      <c r="I216" s="45">
        <f t="shared" ref="I216:I221" si="25">TRUNC(F216*H216,2)</f>
        <v>6483.64</v>
      </c>
    </row>
    <row r="217" spans="1:9" ht="24" x14ac:dyDescent="0.25">
      <c r="A217" s="61" t="s">
        <v>333</v>
      </c>
      <c r="B217" s="61">
        <v>94216</v>
      </c>
      <c r="C217" s="61" t="s">
        <v>25</v>
      </c>
      <c r="D217" s="73" t="s">
        <v>293</v>
      </c>
      <c r="E217" s="61" t="s">
        <v>27</v>
      </c>
      <c r="F217" s="44">
        <v>68.17</v>
      </c>
      <c r="G217" s="45">
        <v>123.19</v>
      </c>
      <c r="H217" s="45">
        <f t="shared" si="24"/>
        <v>146.63</v>
      </c>
      <c r="I217" s="45">
        <f t="shared" si="25"/>
        <v>9995.76</v>
      </c>
    </row>
    <row r="218" spans="1:9" x14ac:dyDescent="0.25">
      <c r="A218" s="61" t="s">
        <v>334</v>
      </c>
      <c r="B218" s="61" t="s">
        <v>335</v>
      </c>
      <c r="C218" s="61" t="s">
        <v>42</v>
      </c>
      <c r="D218" s="73" t="s">
        <v>336</v>
      </c>
      <c r="E218" s="61" t="s">
        <v>263</v>
      </c>
      <c r="F218" s="44">
        <v>85.2</v>
      </c>
      <c r="G218" s="45">
        <f>Composição!H83</f>
        <v>157.65419999999997</v>
      </c>
      <c r="H218" s="45">
        <f t="shared" si="24"/>
        <v>187.65</v>
      </c>
      <c r="I218" s="45">
        <f t="shared" si="25"/>
        <v>15987.78</v>
      </c>
    </row>
    <row r="219" spans="1:9" ht="24" x14ac:dyDescent="0.25">
      <c r="A219" s="61" t="s">
        <v>337</v>
      </c>
      <c r="B219" s="61" t="s">
        <v>338</v>
      </c>
      <c r="C219" s="61" t="s">
        <v>42</v>
      </c>
      <c r="D219" s="73" t="s">
        <v>339</v>
      </c>
      <c r="E219" s="61" t="s">
        <v>125</v>
      </c>
      <c r="F219" s="44">
        <v>294.83</v>
      </c>
      <c r="G219" s="45">
        <f>Composição!H67</f>
        <v>18.102599999999999</v>
      </c>
      <c r="H219" s="45">
        <f t="shared" si="24"/>
        <v>21.54</v>
      </c>
      <c r="I219" s="45">
        <f t="shared" si="25"/>
        <v>6350.63</v>
      </c>
    </row>
    <row r="220" spans="1:9" ht="24" x14ac:dyDescent="0.25">
      <c r="A220" s="61" t="s">
        <v>340</v>
      </c>
      <c r="B220" s="41">
        <v>94229</v>
      </c>
      <c r="C220" s="61" t="s">
        <v>25</v>
      </c>
      <c r="D220" s="73" t="s">
        <v>295</v>
      </c>
      <c r="E220" s="41" t="s">
        <v>263</v>
      </c>
      <c r="F220" s="44">
        <v>15.2</v>
      </c>
      <c r="G220" s="45">
        <v>108.3</v>
      </c>
      <c r="H220" s="45">
        <f t="shared" si="24"/>
        <v>128.9</v>
      </c>
      <c r="I220" s="45">
        <f t="shared" si="25"/>
        <v>1959.28</v>
      </c>
    </row>
    <row r="221" spans="1:9" ht="24" x14ac:dyDescent="0.25">
      <c r="A221" s="61" t="s">
        <v>341</v>
      </c>
      <c r="B221" s="41">
        <v>94231</v>
      </c>
      <c r="C221" s="61" t="s">
        <v>25</v>
      </c>
      <c r="D221" s="73" t="s">
        <v>297</v>
      </c>
      <c r="E221" s="41" t="s">
        <v>60</v>
      </c>
      <c r="F221" s="44">
        <f>6.5+6.5+3.9</f>
        <v>16.899999999999999</v>
      </c>
      <c r="G221" s="45">
        <v>28.84</v>
      </c>
      <c r="H221" s="45">
        <f t="shared" si="24"/>
        <v>34.32</v>
      </c>
      <c r="I221" s="45">
        <f t="shared" si="25"/>
        <v>580</v>
      </c>
    </row>
    <row r="222" spans="1:9" x14ac:dyDescent="0.25">
      <c r="A222" s="61"/>
      <c r="B222" s="41"/>
      <c r="C222" s="61"/>
      <c r="D222" s="74" t="s">
        <v>342</v>
      </c>
      <c r="E222" s="41"/>
      <c r="F222" s="44"/>
      <c r="G222" s="45"/>
      <c r="H222" s="45"/>
      <c r="I222" s="45"/>
    </row>
    <row r="223" spans="1:9" ht="60" x14ac:dyDescent="0.25">
      <c r="A223" s="61" t="s">
        <v>343</v>
      </c>
      <c r="B223" s="61" t="s">
        <v>290</v>
      </c>
      <c r="C223" s="82" t="s">
        <v>211</v>
      </c>
      <c r="D223" s="73" t="s">
        <v>312</v>
      </c>
      <c r="E223" s="41" t="s">
        <v>27</v>
      </c>
      <c r="F223" s="44">
        <v>3.98</v>
      </c>
      <c r="G223" s="45">
        <f>Composição!H599</f>
        <v>79.908999999999992</v>
      </c>
      <c r="H223" s="45">
        <f t="shared" ref="H223:H229" si="26">TRUNC(G223*1.1903,2)</f>
        <v>95.11</v>
      </c>
      <c r="I223" s="45">
        <f t="shared" ref="I223:I229" si="27">TRUNC(F223*H223,2)</f>
        <v>378.53</v>
      </c>
    </row>
    <row r="224" spans="1:9" ht="24" x14ac:dyDescent="0.25">
      <c r="A224" s="61" t="s">
        <v>344</v>
      </c>
      <c r="B224" s="61">
        <v>94216</v>
      </c>
      <c r="C224" s="61" t="s">
        <v>25</v>
      </c>
      <c r="D224" s="73" t="s">
        <v>293</v>
      </c>
      <c r="E224" s="61" t="s">
        <v>27</v>
      </c>
      <c r="F224" s="44">
        <f>1.85*2</f>
        <v>3.7</v>
      </c>
      <c r="G224" s="45">
        <v>123.19</v>
      </c>
      <c r="H224" s="45">
        <f t="shared" si="26"/>
        <v>146.63</v>
      </c>
      <c r="I224" s="45">
        <f t="shared" si="27"/>
        <v>542.53</v>
      </c>
    </row>
    <row r="225" spans="1:9" ht="36" x14ac:dyDescent="0.25">
      <c r="A225" s="61" t="s">
        <v>345</v>
      </c>
      <c r="B225" s="41">
        <v>94228</v>
      </c>
      <c r="C225" s="61" t="s">
        <v>25</v>
      </c>
      <c r="D225" s="73" t="s">
        <v>346</v>
      </c>
      <c r="E225" s="41" t="s">
        <v>263</v>
      </c>
      <c r="F225" s="44">
        <v>1.85</v>
      </c>
      <c r="G225" s="45">
        <v>55.69</v>
      </c>
      <c r="H225" s="45">
        <f t="shared" si="26"/>
        <v>66.28</v>
      </c>
      <c r="I225" s="45">
        <f t="shared" si="27"/>
        <v>122.61</v>
      </c>
    </row>
    <row r="226" spans="1:9" ht="24" x14ac:dyDescent="0.25">
      <c r="A226" s="61" t="s">
        <v>347</v>
      </c>
      <c r="B226" s="41">
        <v>94231</v>
      </c>
      <c r="C226" s="61" t="s">
        <v>25</v>
      </c>
      <c r="D226" s="73" t="s">
        <v>297</v>
      </c>
      <c r="E226" s="41" t="s">
        <v>60</v>
      </c>
      <c r="F226" s="44">
        <f>1.85*3</f>
        <v>5.5500000000000007</v>
      </c>
      <c r="G226" s="45">
        <v>28.84</v>
      </c>
      <c r="H226" s="45">
        <f t="shared" si="26"/>
        <v>34.32</v>
      </c>
      <c r="I226" s="45">
        <f t="shared" si="27"/>
        <v>190.47</v>
      </c>
    </row>
    <row r="227" spans="1:9" ht="24" x14ac:dyDescent="0.25">
      <c r="A227" s="61" t="s">
        <v>348</v>
      </c>
      <c r="B227" s="41">
        <v>94231</v>
      </c>
      <c r="C227" s="61" t="s">
        <v>25</v>
      </c>
      <c r="D227" s="73" t="s">
        <v>349</v>
      </c>
      <c r="E227" s="41" t="s">
        <v>60</v>
      </c>
      <c r="F227" s="44">
        <f>1.85*3</f>
        <v>5.5500000000000007</v>
      </c>
      <c r="G227" s="45">
        <v>28.84</v>
      </c>
      <c r="H227" s="45">
        <f t="shared" si="26"/>
        <v>34.32</v>
      </c>
      <c r="I227" s="45">
        <f t="shared" si="27"/>
        <v>190.47</v>
      </c>
    </row>
    <row r="228" spans="1:9" ht="24" x14ac:dyDescent="0.25">
      <c r="A228" s="61" t="s">
        <v>350</v>
      </c>
      <c r="B228" s="61">
        <v>89580</v>
      </c>
      <c r="C228" s="61" t="s">
        <v>25</v>
      </c>
      <c r="D228" s="73" t="s">
        <v>299</v>
      </c>
      <c r="E228" s="41" t="s">
        <v>263</v>
      </c>
      <c r="F228" s="44">
        <f>3.3*2</f>
        <v>6.6</v>
      </c>
      <c r="G228" s="45">
        <v>48.24</v>
      </c>
      <c r="H228" s="45">
        <f t="shared" si="26"/>
        <v>57.42</v>
      </c>
      <c r="I228" s="45">
        <f t="shared" si="27"/>
        <v>378.97</v>
      </c>
    </row>
    <row r="229" spans="1:9" ht="36" x14ac:dyDescent="0.25">
      <c r="A229" s="61" t="s">
        <v>351</v>
      </c>
      <c r="B229" s="41">
        <v>89590</v>
      </c>
      <c r="C229" s="61" t="s">
        <v>25</v>
      </c>
      <c r="D229" s="73" t="s">
        <v>301</v>
      </c>
      <c r="E229" s="42" t="s">
        <v>46</v>
      </c>
      <c r="F229" s="44">
        <f>3*2</f>
        <v>6</v>
      </c>
      <c r="G229" s="45">
        <v>70.38</v>
      </c>
      <c r="H229" s="45">
        <f t="shared" si="26"/>
        <v>83.77</v>
      </c>
      <c r="I229" s="45">
        <f t="shared" si="27"/>
        <v>502.62</v>
      </c>
    </row>
    <row r="230" spans="1:9" x14ac:dyDescent="0.25">
      <c r="A230" s="61"/>
      <c r="B230" s="61"/>
      <c r="C230" s="61"/>
      <c r="D230" s="74" t="s">
        <v>352</v>
      </c>
      <c r="E230" s="61"/>
      <c r="F230" s="44"/>
      <c r="G230" s="45"/>
      <c r="H230" s="45"/>
      <c r="I230" s="45"/>
    </row>
    <row r="231" spans="1:9" x14ac:dyDescent="0.25">
      <c r="A231" s="61" t="s">
        <v>353</v>
      </c>
      <c r="B231" s="61" t="s">
        <v>354</v>
      </c>
      <c r="C231" s="61" t="s">
        <v>25</v>
      </c>
      <c r="D231" s="73" t="s">
        <v>355</v>
      </c>
      <c r="E231" s="61" t="s">
        <v>27</v>
      </c>
      <c r="F231" s="44">
        <f>15*7.5</f>
        <v>112.5</v>
      </c>
      <c r="G231" s="45">
        <v>174.57</v>
      </c>
      <c r="H231" s="45">
        <f t="shared" ref="H231:H238" si="28">TRUNC(G231*1.1903,2)</f>
        <v>207.79</v>
      </c>
      <c r="I231" s="45">
        <f t="shared" ref="I231:I238" si="29">TRUNC(F231*H231,2)</f>
        <v>23376.37</v>
      </c>
    </row>
    <row r="232" spans="1:9" ht="24" x14ac:dyDescent="0.25">
      <c r="A232" s="61" t="s">
        <v>356</v>
      </c>
      <c r="B232" s="61">
        <v>94213</v>
      </c>
      <c r="C232" s="61" t="s">
        <v>25</v>
      </c>
      <c r="D232" s="73" t="s">
        <v>357</v>
      </c>
      <c r="E232" s="61" t="s">
        <v>27</v>
      </c>
      <c r="F232" s="44">
        <f>F231</f>
        <v>112.5</v>
      </c>
      <c r="G232" s="45">
        <v>41.72</v>
      </c>
      <c r="H232" s="45">
        <f t="shared" si="28"/>
        <v>49.65</v>
      </c>
      <c r="I232" s="45">
        <f t="shared" si="29"/>
        <v>5585.62</v>
      </c>
    </row>
    <row r="233" spans="1:9" ht="24" x14ac:dyDescent="0.25">
      <c r="A233" s="61" t="s">
        <v>358</v>
      </c>
      <c r="B233" s="41">
        <v>94229</v>
      </c>
      <c r="C233" s="61" t="s">
        <v>25</v>
      </c>
      <c r="D233" s="73" t="s">
        <v>295</v>
      </c>
      <c r="E233" s="41" t="s">
        <v>263</v>
      </c>
      <c r="F233" s="44">
        <v>15</v>
      </c>
      <c r="G233" s="45">
        <v>108.3</v>
      </c>
      <c r="H233" s="45">
        <f t="shared" si="28"/>
        <v>128.9</v>
      </c>
      <c r="I233" s="45">
        <f t="shared" si="29"/>
        <v>1933.5</v>
      </c>
    </row>
    <row r="234" spans="1:9" ht="24" x14ac:dyDescent="0.25">
      <c r="A234" s="61" t="s">
        <v>359</v>
      </c>
      <c r="B234" s="41">
        <v>94231</v>
      </c>
      <c r="C234" s="61" t="s">
        <v>25</v>
      </c>
      <c r="D234" s="73" t="s">
        <v>297</v>
      </c>
      <c r="E234" s="41" t="s">
        <v>60</v>
      </c>
      <c r="F234" s="44">
        <v>15</v>
      </c>
      <c r="G234" s="45">
        <v>28.84</v>
      </c>
      <c r="H234" s="45">
        <f t="shared" si="28"/>
        <v>34.32</v>
      </c>
      <c r="I234" s="45">
        <f t="shared" si="29"/>
        <v>514.79999999999995</v>
      </c>
    </row>
    <row r="235" spans="1:9" ht="24" x14ac:dyDescent="0.25">
      <c r="A235" s="61" t="s">
        <v>360</v>
      </c>
      <c r="B235" s="41">
        <v>96522</v>
      </c>
      <c r="C235" s="61" t="s">
        <v>25</v>
      </c>
      <c r="D235" s="73" t="s">
        <v>112</v>
      </c>
      <c r="E235" s="41" t="s">
        <v>37</v>
      </c>
      <c r="F235" s="44">
        <v>1.28</v>
      </c>
      <c r="G235" s="45">
        <v>116.12</v>
      </c>
      <c r="H235" s="45">
        <f t="shared" si="28"/>
        <v>138.21</v>
      </c>
      <c r="I235" s="45">
        <f t="shared" si="29"/>
        <v>176.9</v>
      </c>
    </row>
    <row r="236" spans="1:9" ht="24" x14ac:dyDescent="0.25">
      <c r="A236" s="61" t="s">
        <v>361</v>
      </c>
      <c r="B236" s="41">
        <v>96546</v>
      </c>
      <c r="C236" s="61" t="s">
        <v>25</v>
      </c>
      <c r="D236" s="73" t="s">
        <v>362</v>
      </c>
      <c r="E236" s="41" t="s">
        <v>125</v>
      </c>
      <c r="F236" s="44">
        <v>16.399999999999999</v>
      </c>
      <c r="G236" s="45">
        <v>8.44</v>
      </c>
      <c r="H236" s="45">
        <f t="shared" si="28"/>
        <v>10.039999999999999</v>
      </c>
      <c r="I236" s="45">
        <f t="shared" si="29"/>
        <v>164.65</v>
      </c>
    </row>
    <row r="237" spans="1:9" ht="24" x14ac:dyDescent="0.25">
      <c r="A237" s="61" t="s">
        <v>363</v>
      </c>
      <c r="B237" s="61">
        <v>94971</v>
      </c>
      <c r="C237" s="42" t="s">
        <v>25</v>
      </c>
      <c r="D237" s="73" t="s">
        <v>137</v>
      </c>
      <c r="E237" s="61" t="s">
        <v>37</v>
      </c>
      <c r="F237" s="44">
        <v>1</v>
      </c>
      <c r="G237" s="45">
        <v>340.61</v>
      </c>
      <c r="H237" s="45">
        <f t="shared" si="28"/>
        <v>405.42</v>
      </c>
      <c r="I237" s="45">
        <f t="shared" si="29"/>
        <v>405.42</v>
      </c>
    </row>
    <row r="238" spans="1:9" ht="24" x14ac:dyDescent="0.25">
      <c r="A238" s="61" t="s">
        <v>364</v>
      </c>
      <c r="B238" s="61">
        <v>92873</v>
      </c>
      <c r="C238" s="42" t="s">
        <v>25</v>
      </c>
      <c r="D238" s="73" t="s">
        <v>139</v>
      </c>
      <c r="E238" s="61" t="s">
        <v>37</v>
      </c>
      <c r="F238" s="44">
        <v>1</v>
      </c>
      <c r="G238" s="45">
        <v>166.95</v>
      </c>
      <c r="H238" s="45">
        <f t="shared" si="28"/>
        <v>198.72</v>
      </c>
      <c r="I238" s="45">
        <f t="shared" si="29"/>
        <v>198.72</v>
      </c>
    </row>
    <row r="239" spans="1:9" x14ac:dyDescent="0.25">
      <c r="A239" s="61"/>
      <c r="B239" s="61"/>
      <c r="C239" s="61"/>
      <c r="D239" s="74" t="s">
        <v>365</v>
      </c>
      <c r="E239" s="61"/>
      <c r="F239" s="44"/>
      <c r="G239" s="45"/>
      <c r="H239" s="45"/>
      <c r="I239" s="45"/>
    </row>
    <row r="240" spans="1:9" ht="24" x14ac:dyDescent="0.25">
      <c r="A240" s="61" t="s">
        <v>366</v>
      </c>
      <c r="B240" s="61">
        <v>94213</v>
      </c>
      <c r="C240" s="42" t="s">
        <v>25</v>
      </c>
      <c r="D240" s="73" t="s">
        <v>367</v>
      </c>
      <c r="E240" s="41" t="s">
        <v>27</v>
      </c>
      <c r="F240" s="44">
        <v>20</v>
      </c>
      <c r="G240" s="45">
        <v>41.72</v>
      </c>
      <c r="H240" s="45">
        <f>TRUNC(G240*1.1903,2)</f>
        <v>49.65</v>
      </c>
      <c r="I240" s="45">
        <f>TRUNC(F240*H240,2)</f>
        <v>993</v>
      </c>
    </row>
    <row r="241" spans="1:9" ht="24" x14ac:dyDescent="0.25">
      <c r="A241" s="61" t="s">
        <v>368</v>
      </c>
      <c r="B241" s="41">
        <v>94229</v>
      </c>
      <c r="C241" s="61" t="s">
        <v>25</v>
      </c>
      <c r="D241" s="73" t="s">
        <v>295</v>
      </c>
      <c r="E241" s="41" t="s">
        <v>263</v>
      </c>
      <c r="F241" s="44">
        <v>3</v>
      </c>
      <c r="G241" s="45">
        <v>108.3</v>
      </c>
      <c r="H241" s="45">
        <f>TRUNC(G241*1.1903,2)</f>
        <v>128.9</v>
      </c>
      <c r="I241" s="45">
        <f>TRUNC(F241*H241,2)</f>
        <v>386.7</v>
      </c>
    </row>
    <row r="242" spans="1:9" x14ac:dyDescent="0.25">
      <c r="A242" s="46"/>
      <c r="B242" s="47"/>
      <c r="C242" s="48"/>
      <c r="D242" s="49" t="s">
        <v>369</v>
      </c>
      <c r="E242" s="50" t="s">
        <v>31</v>
      </c>
      <c r="F242" s="67"/>
      <c r="G242" s="52"/>
      <c r="H242" s="52"/>
      <c r="I242" s="53">
        <f>SUM(I189:I241)</f>
        <v>137716.33000000002</v>
      </c>
    </row>
    <row r="243" spans="1:9" x14ac:dyDescent="0.25">
      <c r="A243" s="92" t="s">
        <v>370</v>
      </c>
      <c r="B243" s="93"/>
      <c r="C243" s="93"/>
      <c r="D243" s="39" t="s">
        <v>371</v>
      </c>
      <c r="E243" s="93"/>
      <c r="F243" s="94"/>
      <c r="G243" s="95"/>
      <c r="H243" s="95"/>
      <c r="I243" s="95"/>
    </row>
    <row r="244" spans="1:9" x14ac:dyDescent="0.25">
      <c r="A244" s="41"/>
      <c r="B244" s="41"/>
      <c r="C244" s="41"/>
      <c r="D244" s="73" t="s">
        <v>34</v>
      </c>
      <c r="E244" s="41"/>
      <c r="F244" s="66"/>
      <c r="G244" s="60"/>
      <c r="H244" s="60"/>
      <c r="I244" s="60"/>
    </row>
    <row r="245" spans="1:9" ht="36" x14ac:dyDescent="0.25">
      <c r="A245" s="41" t="s">
        <v>372</v>
      </c>
      <c r="B245" s="41">
        <v>91341</v>
      </c>
      <c r="C245" s="41" t="s">
        <v>25</v>
      </c>
      <c r="D245" s="73" t="s">
        <v>373</v>
      </c>
      <c r="E245" s="41" t="s">
        <v>27</v>
      </c>
      <c r="F245" s="44">
        <f>20.79+5.88+0.96</f>
        <v>27.63</v>
      </c>
      <c r="G245" s="60">
        <v>651.08000000000004</v>
      </c>
      <c r="H245" s="45">
        <f t="shared" ref="H245:H257" si="30">TRUNC(G245*1.1903,2)</f>
        <v>774.98</v>
      </c>
      <c r="I245" s="45">
        <f t="shared" ref="I245:I257" si="31">TRUNC(F245*H245,2)</f>
        <v>21412.69</v>
      </c>
    </row>
    <row r="246" spans="1:9" ht="36" x14ac:dyDescent="0.25">
      <c r="A246" s="41" t="s">
        <v>374</v>
      </c>
      <c r="B246" s="41">
        <v>91341</v>
      </c>
      <c r="C246" s="41" t="s">
        <v>25</v>
      </c>
      <c r="D246" s="73" t="s">
        <v>375</v>
      </c>
      <c r="E246" s="41" t="s">
        <v>27</v>
      </c>
      <c r="F246" s="44">
        <f>3.36+2.88</f>
        <v>6.24</v>
      </c>
      <c r="G246" s="60">
        <v>651.08000000000004</v>
      </c>
      <c r="H246" s="45">
        <f t="shared" si="30"/>
        <v>774.98</v>
      </c>
      <c r="I246" s="45">
        <f t="shared" si="31"/>
        <v>4835.87</v>
      </c>
    </row>
    <row r="247" spans="1:9" ht="48" x14ac:dyDescent="0.25">
      <c r="A247" s="41" t="s">
        <v>376</v>
      </c>
      <c r="B247" s="41" t="s">
        <v>377</v>
      </c>
      <c r="C247" s="41" t="s">
        <v>42</v>
      </c>
      <c r="D247" s="64" t="s">
        <v>378</v>
      </c>
      <c r="E247" s="41" t="s">
        <v>46</v>
      </c>
      <c r="F247" s="44">
        <v>1</v>
      </c>
      <c r="G247" s="60">
        <f>Composição!H40</f>
        <v>2625.7292200000002</v>
      </c>
      <c r="H247" s="45">
        <f t="shared" si="30"/>
        <v>3125.4</v>
      </c>
      <c r="I247" s="45">
        <f t="shared" si="31"/>
        <v>3125.4</v>
      </c>
    </row>
    <row r="248" spans="1:9" ht="36" x14ac:dyDescent="0.25">
      <c r="A248" s="41" t="s">
        <v>379</v>
      </c>
      <c r="B248" s="41" t="s">
        <v>380</v>
      </c>
      <c r="C248" s="41" t="s">
        <v>42</v>
      </c>
      <c r="D248" s="64" t="s">
        <v>381</v>
      </c>
      <c r="E248" s="41" t="s">
        <v>27</v>
      </c>
      <c r="F248" s="44">
        <v>8.4</v>
      </c>
      <c r="G248" s="60">
        <f>Composição!H60</f>
        <v>694.81767599999989</v>
      </c>
      <c r="H248" s="45">
        <f t="shared" si="30"/>
        <v>827.04</v>
      </c>
      <c r="I248" s="45">
        <f t="shared" si="31"/>
        <v>6947.13</v>
      </c>
    </row>
    <row r="249" spans="1:9" ht="36" x14ac:dyDescent="0.25">
      <c r="A249" s="41" t="s">
        <v>382</v>
      </c>
      <c r="B249" s="41">
        <v>91304</v>
      </c>
      <c r="C249" s="41" t="s">
        <v>25</v>
      </c>
      <c r="D249" s="64" t="s">
        <v>383</v>
      </c>
      <c r="E249" s="41" t="s">
        <v>46</v>
      </c>
      <c r="F249" s="44">
        <v>15</v>
      </c>
      <c r="G249" s="60">
        <v>76.349999999999994</v>
      </c>
      <c r="H249" s="45">
        <f t="shared" si="30"/>
        <v>90.87</v>
      </c>
      <c r="I249" s="45">
        <f t="shared" si="31"/>
        <v>1363.05</v>
      </c>
    </row>
    <row r="250" spans="1:9" ht="36" x14ac:dyDescent="0.25">
      <c r="A250" s="41" t="s">
        <v>384</v>
      </c>
      <c r="B250" s="41">
        <v>91305</v>
      </c>
      <c r="C250" s="41" t="s">
        <v>25</v>
      </c>
      <c r="D250" s="64" t="s">
        <v>385</v>
      </c>
      <c r="E250" s="41" t="s">
        <v>46</v>
      </c>
      <c r="F250" s="44">
        <v>2</v>
      </c>
      <c r="G250" s="60">
        <v>57.64</v>
      </c>
      <c r="H250" s="45">
        <f t="shared" si="30"/>
        <v>68.599999999999994</v>
      </c>
      <c r="I250" s="45">
        <f t="shared" si="31"/>
        <v>137.19999999999999</v>
      </c>
    </row>
    <row r="251" spans="1:9" ht="24" x14ac:dyDescent="0.25">
      <c r="A251" s="41" t="s">
        <v>386</v>
      </c>
      <c r="B251" s="41" t="s">
        <v>387</v>
      </c>
      <c r="C251" s="41" t="s">
        <v>25</v>
      </c>
      <c r="D251" s="64" t="s">
        <v>388</v>
      </c>
      <c r="E251" s="41" t="s">
        <v>46</v>
      </c>
      <c r="F251" s="44">
        <v>66</v>
      </c>
      <c r="G251" s="60">
        <v>32.26</v>
      </c>
      <c r="H251" s="45">
        <f t="shared" si="30"/>
        <v>38.39</v>
      </c>
      <c r="I251" s="45">
        <f t="shared" si="31"/>
        <v>2533.7399999999998</v>
      </c>
    </row>
    <row r="252" spans="1:9" x14ac:dyDescent="0.25">
      <c r="A252" s="41" t="s">
        <v>389</v>
      </c>
      <c r="B252" s="41" t="s">
        <v>390</v>
      </c>
      <c r="C252" s="41" t="s">
        <v>25</v>
      </c>
      <c r="D252" s="64" t="s">
        <v>391</v>
      </c>
      <c r="E252" s="41" t="s">
        <v>46</v>
      </c>
      <c r="F252" s="44">
        <v>5</v>
      </c>
      <c r="G252" s="60">
        <v>35.31</v>
      </c>
      <c r="H252" s="45">
        <f t="shared" si="30"/>
        <v>42.02</v>
      </c>
      <c r="I252" s="45">
        <f t="shared" si="31"/>
        <v>210.1</v>
      </c>
    </row>
    <row r="253" spans="1:9" x14ac:dyDescent="0.25">
      <c r="A253" s="41" t="s">
        <v>392</v>
      </c>
      <c r="B253" s="41" t="s">
        <v>393</v>
      </c>
      <c r="C253" s="41" t="s">
        <v>25</v>
      </c>
      <c r="D253" s="73" t="s">
        <v>394</v>
      </c>
      <c r="E253" s="41" t="s">
        <v>46</v>
      </c>
      <c r="F253" s="44">
        <v>2</v>
      </c>
      <c r="G253" s="60">
        <v>121.15</v>
      </c>
      <c r="H253" s="45">
        <f t="shared" si="30"/>
        <v>144.19999999999999</v>
      </c>
      <c r="I253" s="45">
        <f t="shared" si="31"/>
        <v>288.39999999999998</v>
      </c>
    </row>
    <row r="254" spans="1:9" ht="24" x14ac:dyDescent="0.25">
      <c r="A254" s="41" t="s">
        <v>395</v>
      </c>
      <c r="B254" s="41">
        <v>94581</v>
      </c>
      <c r="C254" s="41" t="s">
        <v>25</v>
      </c>
      <c r="D254" s="64" t="s">
        <v>396</v>
      </c>
      <c r="E254" s="41" t="s">
        <v>27</v>
      </c>
      <c r="F254" s="44">
        <v>1.44</v>
      </c>
      <c r="G254" s="60">
        <v>691.38</v>
      </c>
      <c r="H254" s="45">
        <f t="shared" si="30"/>
        <v>822.94</v>
      </c>
      <c r="I254" s="45">
        <f t="shared" si="31"/>
        <v>1185.03</v>
      </c>
    </row>
    <row r="255" spans="1:9" ht="36" x14ac:dyDescent="0.25">
      <c r="A255" s="41" t="s">
        <v>397</v>
      </c>
      <c r="B255" s="41">
        <v>94582</v>
      </c>
      <c r="C255" s="41" t="s">
        <v>25</v>
      </c>
      <c r="D255" s="64" t="s">
        <v>398</v>
      </c>
      <c r="E255" s="41" t="s">
        <v>27</v>
      </c>
      <c r="F255" s="44">
        <v>2.7</v>
      </c>
      <c r="G255" s="60">
        <v>430.07</v>
      </c>
      <c r="H255" s="45">
        <f t="shared" si="30"/>
        <v>511.91</v>
      </c>
      <c r="I255" s="45">
        <f t="shared" si="31"/>
        <v>1382.15</v>
      </c>
    </row>
    <row r="256" spans="1:9" x14ac:dyDescent="0.25">
      <c r="A256" s="41" t="s">
        <v>399</v>
      </c>
      <c r="B256" s="41" t="s">
        <v>400</v>
      </c>
      <c r="C256" s="41" t="s">
        <v>42</v>
      </c>
      <c r="D256" s="64" t="s">
        <v>401</v>
      </c>
      <c r="E256" s="41" t="s">
        <v>46</v>
      </c>
      <c r="F256" s="44">
        <v>1</v>
      </c>
      <c r="G256" s="60">
        <f>Composição!H27</f>
        <v>516.13</v>
      </c>
      <c r="H256" s="45">
        <f t="shared" si="30"/>
        <v>614.34</v>
      </c>
      <c r="I256" s="45">
        <f t="shared" si="31"/>
        <v>614.34</v>
      </c>
    </row>
    <row r="257" spans="1:9" x14ac:dyDescent="0.25">
      <c r="A257" s="41" t="s">
        <v>402</v>
      </c>
      <c r="B257" s="41" t="s">
        <v>403</v>
      </c>
      <c r="C257" s="41" t="s">
        <v>25</v>
      </c>
      <c r="D257" s="64" t="s">
        <v>404</v>
      </c>
      <c r="E257" s="41" t="s">
        <v>27</v>
      </c>
      <c r="F257" s="44">
        <v>55.24</v>
      </c>
      <c r="G257" s="60">
        <v>322.92</v>
      </c>
      <c r="H257" s="45">
        <f t="shared" si="30"/>
        <v>384.37</v>
      </c>
      <c r="I257" s="45">
        <f t="shared" si="31"/>
        <v>21232.59</v>
      </c>
    </row>
    <row r="258" spans="1:9" x14ac:dyDescent="0.25">
      <c r="A258" s="41"/>
      <c r="B258" s="41"/>
      <c r="C258" s="41"/>
      <c r="D258" s="59" t="s">
        <v>204</v>
      </c>
      <c r="E258" s="41"/>
      <c r="F258" s="66"/>
      <c r="G258" s="60"/>
      <c r="H258" s="60"/>
      <c r="I258" s="60"/>
    </row>
    <row r="259" spans="1:9" ht="36" x14ac:dyDescent="0.25">
      <c r="A259" s="41" t="s">
        <v>405</v>
      </c>
      <c r="B259" s="41">
        <v>91341</v>
      </c>
      <c r="C259" s="41" t="s">
        <v>25</v>
      </c>
      <c r="D259" s="73" t="s">
        <v>406</v>
      </c>
      <c r="E259" s="41" t="s">
        <v>27</v>
      </c>
      <c r="F259" s="44">
        <v>15.12</v>
      </c>
      <c r="G259" s="60">
        <v>651.08000000000004</v>
      </c>
      <c r="H259" s="45">
        <f t="shared" ref="H259:H273" si="32">TRUNC(G259*1.1903,2)</f>
        <v>774.98</v>
      </c>
      <c r="I259" s="45">
        <f t="shared" ref="I259:I273" si="33">TRUNC(F259*H259,2)</f>
        <v>11717.69</v>
      </c>
    </row>
    <row r="260" spans="1:9" ht="36" x14ac:dyDescent="0.25">
      <c r="A260" s="41" t="s">
        <v>407</v>
      </c>
      <c r="B260" s="41">
        <v>91341</v>
      </c>
      <c r="C260" s="41" t="s">
        <v>25</v>
      </c>
      <c r="D260" s="73" t="s">
        <v>408</v>
      </c>
      <c r="E260" s="41" t="s">
        <v>27</v>
      </c>
      <c r="F260" s="44">
        <f>39.69+4.41+3.36</f>
        <v>47.459999999999994</v>
      </c>
      <c r="G260" s="60">
        <v>651.08000000000004</v>
      </c>
      <c r="H260" s="45">
        <f t="shared" si="32"/>
        <v>774.98</v>
      </c>
      <c r="I260" s="45">
        <f t="shared" si="33"/>
        <v>36780.550000000003</v>
      </c>
    </row>
    <row r="261" spans="1:9" ht="36" x14ac:dyDescent="0.25">
      <c r="A261" s="41" t="s">
        <v>409</v>
      </c>
      <c r="B261" s="41" t="s">
        <v>380</v>
      </c>
      <c r="C261" s="41" t="s">
        <v>42</v>
      </c>
      <c r="D261" s="64" t="s">
        <v>410</v>
      </c>
      <c r="E261" s="41" t="s">
        <v>27</v>
      </c>
      <c r="F261" s="44">
        <v>3.15</v>
      </c>
      <c r="G261" s="60">
        <f>Composição!H60</f>
        <v>694.81767599999989</v>
      </c>
      <c r="H261" s="45">
        <f t="shared" si="32"/>
        <v>827.04</v>
      </c>
      <c r="I261" s="45">
        <f t="shared" si="33"/>
        <v>2605.17</v>
      </c>
    </row>
    <row r="262" spans="1:9" ht="36" x14ac:dyDescent="0.25">
      <c r="A262" s="41" t="s">
        <v>411</v>
      </c>
      <c r="B262" s="41">
        <v>91341</v>
      </c>
      <c r="C262" s="41" t="s">
        <v>25</v>
      </c>
      <c r="D262" s="73" t="s">
        <v>412</v>
      </c>
      <c r="E262" s="41" t="s">
        <v>27</v>
      </c>
      <c r="F262" s="44">
        <f>13.44</f>
        <v>13.44</v>
      </c>
      <c r="G262" s="60">
        <v>651.08000000000004</v>
      </c>
      <c r="H262" s="45">
        <f t="shared" si="32"/>
        <v>774.98</v>
      </c>
      <c r="I262" s="45">
        <f t="shared" si="33"/>
        <v>10415.73</v>
      </c>
    </row>
    <row r="263" spans="1:9" ht="48" x14ac:dyDescent="0.25">
      <c r="A263" s="41" t="s">
        <v>413</v>
      </c>
      <c r="B263" s="41" t="s">
        <v>414</v>
      </c>
      <c r="C263" s="41" t="s">
        <v>42</v>
      </c>
      <c r="D263" s="64" t="s">
        <v>415</v>
      </c>
      <c r="E263" s="41" t="s">
        <v>46</v>
      </c>
      <c r="F263" s="44">
        <v>1</v>
      </c>
      <c r="G263" s="60">
        <f>Composição!H49</f>
        <v>1204.3212450000001</v>
      </c>
      <c r="H263" s="45">
        <f t="shared" si="32"/>
        <v>1433.5</v>
      </c>
      <c r="I263" s="45">
        <f t="shared" si="33"/>
        <v>1433.5</v>
      </c>
    </row>
    <row r="264" spans="1:9" ht="36" x14ac:dyDescent="0.25">
      <c r="A264" s="41" t="s">
        <v>416</v>
      </c>
      <c r="B264" s="41">
        <v>91304</v>
      </c>
      <c r="C264" s="41" t="s">
        <v>25</v>
      </c>
      <c r="D264" s="64" t="s">
        <v>383</v>
      </c>
      <c r="E264" s="41" t="s">
        <v>46</v>
      </c>
      <c r="F264" s="44">
        <v>29</v>
      </c>
      <c r="G264" s="60">
        <v>76.349999999999994</v>
      </c>
      <c r="H264" s="45">
        <f t="shared" si="32"/>
        <v>90.87</v>
      </c>
      <c r="I264" s="45">
        <f t="shared" si="33"/>
        <v>2635.23</v>
      </c>
    </row>
    <row r="265" spans="1:9" ht="36" x14ac:dyDescent="0.25">
      <c r="A265" s="41" t="s">
        <v>417</v>
      </c>
      <c r="B265" s="41">
        <v>91305</v>
      </c>
      <c r="C265" s="41" t="s">
        <v>25</v>
      </c>
      <c r="D265" s="64" t="s">
        <v>385</v>
      </c>
      <c r="E265" s="41" t="s">
        <v>46</v>
      </c>
      <c r="F265" s="44">
        <v>9</v>
      </c>
      <c r="G265" s="60">
        <v>57.64</v>
      </c>
      <c r="H265" s="45">
        <f t="shared" si="32"/>
        <v>68.599999999999994</v>
      </c>
      <c r="I265" s="45">
        <f t="shared" si="33"/>
        <v>617.4</v>
      </c>
    </row>
    <row r="266" spans="1:9" ht="24" x14ac:dyDescent="0.25">
      <c r="A266" s="41" t="s">
        <v>418</v>
      </c>
      <c r="B266" s="41" t="s">
        <v>387</v>
      </c>
      <c r="C266" s="41" t="s">
        <v>25</v>
      </c>
      <c r="D266" s="64" t="s">
        <v>388</v>
      </c>
      <c r="E266" s="41" t="s">
        <v>46</v>
      </c>
      <c r="F266" s="44">
        <v>156</v>
      </c>
      <c r="G266" s="60">
        <v>32.26</v>
      </c>
      <c r="H266" s="45">
        <f t="shared" si="32"/>
        <v>38.39</v>
      </c>
      <c r="I266" s="45">
        <f t="shared" si="33"/>
        <v>5988.84</v>
      </c>
    </row>
    <row r="267" spans="1:9" x14ac:dyDescent="0.25">
      <c r="A267" s="41" t="s">
        <v>419</v>
      </c>
      <c r="B267" s="41" t="s">
        <v>390</v>
      </c>
      <c r="C267" s="41" t="s">
        <v>25</v>
      </c>
      <c r="D267" s="64" t="s">
        <v>420</v>
      </c>
      <c r="E267" s="41" t="s">
        <v>46</v>
      </c>
      <c r="F267" s="44">
        <v>14</v>
      </c>
      <c r="G267" s="60">
        <v>35.31</v>
      </c>
      <c r="H267" s="45">
        <f t="shared" si="32"/>
        <v>42.02</v>
      </c>
      <c r="I267" s="45">
        <f t="shared" si="33"/>
        <v>588.28</v>
      </c>
    </row>
    <row r="268" spans="1:9" ht="24" x14ac:dyDescent="0.25">
      <c r="A268" s="41" t="s">
        <v>421</v>
      </c>
      <c r="B268" s="41">
        <v>94581</v>
      </c>
      <c r="C268" s="41" t="s">
        <v>25</v>
      </c>
      <c r="D268" s="64" t="s">
        <v>422</v>
      </c>
      <c r="E268" s="41" t="s">
        <v>27</v>
      </c>
      <c r="F268" s="44">
        <f>2.16+2.88</f>
        <v>5.04</v>
      </c>
      <c r="G268" s="60">
        <v>691.38</v>
      </c>
      <c r="H268" s="45">
        <f t="shared" si="32"/>
        <v>822.94</v>
      </c>
      <c r="I268" s="45">
        <f t="shared" si="33"/>
        <v>4147.6099999999997</v>
      </c>
    </row>
    <row r="269" spans="1:9" ht="36" x14ac:dyDescent="0.25">
      <c r="A269" s="41" t="s">
        <v>423</v>
      </c>
      <c r="B269" s="41">
        <v>94582</v>
      </c>
      <c r="C269" s="41" t="s">
        <v>25</v>
      </c>
      <c r="D269" s="64" t="s">
        <v>424</v>
      </c>
      <c r="E269" s="41" t="s">
        <v>27</v>
      </c>
      <c r="F269" s="44">
        <f>1.44+1.8</f>
        <v>3.24</v>
      </c>
      <c r="G269" s="60">
        <v>430.07</v>
      </c>
      <c r="H269" s="45">
        <f t="shared" si="32"/>
        <v>511.91</v>
      </c>
      <c r="I269" s="45">
        <f t="shared" si="33"/>
        <v>1658.58</v>
      </c>
    </row>
    <row r="270" spans="1:9" ht="24" x14ac:dyDescent="0.25">
      <c r="A270" s="41" t="s">
        <v>425</v>
      </c>
      <c r="B270" s="41">
        <v>72144</v>
      </c>
      <c r="C270" s="41" t="s">
        <v>25</v>
      </c>
      <c r="D270" s="64" t="s">
        <v>426</v>
      </c>
      <c r="E270" s="41" t="s">
        <v>46</v>
      </c>
      <c r="F270" s="44">
        <v>3</v>
      </c>
      <c r="G270" s="60">
        <v>83.72</v>
      </c>
      <c r="H270" s="45">
        <f t="shared" si="32"/>
        <v>99.65</v>
      </c>
      <c r="I270" s="45">
        <f t="shared" si="33"/>
        <v>298.95</v>
      </c>
    </row>
    <row r="271" spans="1:9" x14ac:dyDescent="0.25">
      <c r="A271" s="41" t="s">
        <v>427</v>
      </c>
      <c r="B271" s="41" t="s">
        <v>403</v>
      </c>
      <c r="C271" s="41" t="s">
        <v>25</v>
      </c>
      <c r="D271" s="64" t="s">
        <v>404</v>
      </c>
      <c r="E271" s="41" t="s">
        <v>27</v>
      </c>
      <c r="F271" s="44">
        <v>205.33</v>
      </c>
      <c r="G271" s="60">
        <v>322.92</v>
      </c>
      <c r="H271" s="45">
        <f t="shared" si="32"/>
        <v>384.37</v>
      </c>
      <c r="I271" s="45">
        <f t="shared" si="33"/>
        <v>78922.69</v>
      </c>
    </row>
    <row r="272" spans="1:9" ht="24" x14ac:dyDescent="0.25">
      <c r="A272" s="41" t="s">
        <v>428</v>
      </c>
      <c r="B272" s="41" t="s">
        <v>429</v>
      </c>
      <c r="C272" s="41" t="s">
        <v>25</v>
      </c>
      <c r="D272" s="64" t="s">
        <v>430</v>
      </c>
      <c r="E272" s="41" t="s">
        <v>60</v>
      </c>
      <c r="F272" s="44">
        <v>18.46</v>
      </c>
      <c r="G272" s="60">
        <v>386</v>
      </c>
      <c r="H272" s="45">
        <f t="shared" si="32"/>
        <v>459.45</v>
      </c>
      <c r="I272" s="45">
        <f t="shared" si="33"/>
        <v>8481.44</v>
      </c>
    </row>
    <row r="273" spans="1:9" ht="24" x14ac:dyDescent="0.25">
      <c r="A273" s="41" t="s">
        <v>431</v>
      </c>
      <c r="B273" s="41" t="s">
        <v>432</v>
      </c>
      <c r="C273" s="41" t="s">
        <v>25</v>
      </c>
      <c r="D273" s="64" t="s">
        <v>433</v>
      </c>
      <c r="E273" s="41" t="s">
        <v>60</v>
      </c>
      <c r="F273" s="44">
        <v>8.4</v>
      </c>
      <c r="G273" s="60">
        <v>87.7</v>
      </c>
      <c r="H273" s="45">
        <f t="shared" si="32"/>
        <v>104.38</v>
      </c>
      <c r="I273" s="45">
        <f t="shared" si="33"/>
        <v>876.79</v>
      </c>
    </row>
    <row r="274" spans="1:9" x14ac:dyDescent="0.25">
      <c r="A274" s="41"/>
      <c r="B274" s="41"/>
      <c r="C274" s="41"/>
      <c r="D274" s="59" t="s">
        <v>99</v>
      </c>
      <c r="E274" s="41"/>
      <c r="F274" s="66"/>
      <c r="G274" s="60"/>
      <c r="H274" s="60"/>
      <c r="I274" s="60"/>
    </row>
    <row r="275" spans="1:9" ht="36" x14ac:dyDescent="0.25">
      <c r="A275" s="41" t="s">
        <v>434</v>
      </c>
      <c r="B275" s="41">
        <v>91341</v>
      </c>
      <c r="C275" s="41" t="s">
        <v>25</v>
      </c>
      <c r="D275" s="73" t="s">
        <v>435</v>
      </c>
      <c r="E275" s="41" t="s">
        <v>27</v>
      </c>
      <c r="F275" s="44">
        <v>1.89</v>
      </c>
      <c r="G275" s="60">
        <v>651.08000000000004</v>
      </c>
      <c r="H275" s="45">
        <f t="shared" ref="H275:H280" si="34">TRUNC(G275*1.1903,2)</f>
        <v>774.98</v>
      </c>
      <c r="I275" s="45">
        <f t="shared" ref="I275:I280" si="35">TRUNC(F275*H275,2)</f>
        <v>1464.71</v>
      </c>
    </row>
    <row r="276" spans="1:9" ht="24" x14ac:dyDescent="0.25">
      <c r="A276" s="41" t="s">
        <v>436</v>
      </c>
      <c r="B276" s="41" t="s">
        <v>437</v>
      </c>
      <c r="C276" s="41" t="s">
        <v>25</v>
      </c>
      <c r="D276" s="73" t="s">
        <v>438</v>
      </c>
      <c r="E276" s="41" t="s">
        <v>27</v>
      </c>
      <c r="F276" s="44">
        <v>3.15</v>
      </c>
      <c r="G276" s="60">
        <v>256.95999999999998</v>
      </c>
      <c r="H276" s="45">
        <f t="shared" si="34"/>
        <v>305.85000000000002</v>
      </c>
      <c r="I276" s="45">
        <f t="shared" si="35"/>
        <v>963.42</v>
      </c>
    </row>
    <row r="277" spans="1:9" ht="36" x14ac:dyDescent="0.25">
      <c r="A277" s="41" t="s">
        <v>439</v>
      </c>
      <c r="B277" s="41">
        <v>91304</v>
      </c>
      <c r="C277" s="41" t="s">
        <v>25</v>
      </c>
      <c r="D277" s="64" t="s">
        <v>383</v>
      </c>
      <c r="E277" s="41" t="s">
        <v>46</v>
      </c>
      <c r="F277" s="44">
        <v>1</v>
      </c>
      <c r="G277" s="60">
        <v>76.349999999999994</v>
      </c>
      <c r="H277" s="45">
        <f t="shared" si="34"/>
        <v>90.87</v>
      </c>
      <c r="I277" s="45">
        <f t="shared" si="35"/>
        <v>90.87</v>
      </c>
    </row>
    <row r="278" spans="1:9" ht="24" x14ac:dyDescent="0.25">
      <c r="A278" s="41" t="s">
        <v>440</v>
      </c>
      <c r="B278" s="41" t="s">
        <v>387</v>
      </c>
      <c r="C278" s="41" t="s">
        <v>25</v>
      </c>
      <c r="D278" s="64" t="s">
        <v>388</v>
      </c>
      <c r="E278" s="41" t="s">
        <v>46</v>
      </c>
      <c r="F278" s="44">
        <v>3</v>
      </c>
      <c r="G278" s="60">
        <v>32.26</v>
      </c>
      <c r="H278" s="45">
        <f t="shared" si="34"/>
        <v>38.39</v>
      </c>
      <c r="I278" s="45">
        <f t="shared" si="35"/>
        <v>115.17</v>
      </c>
    </row>
    <row r="279" spans="1:9" ht="24" x14ac:dyDescent="0.25">
      <c r="A279" s="41" t="s">
        <v>441</v>
      </c>
      <c r="B279" s="41">
        <v>94581</v>
      </c>
      <c r="C279" s="41" t="s">
        <v>25</v>
      </c>
      <c r="D279" s="64" t="s">
        <v>442</v>
      </c>
      <c r="E279" s="41" t="s">
        <v>27</v>
      </c>
      <c r="F279" s="44">
        <v>5.76</v>
      </c>
      <c r="G279" s="60">
        <v>691.38</v>
      </c>
      <c r="H279" s="45">
        <f t="shared" si="34"/>
        <v>822.94</v>
      </c>
      <c r="I279" s="45">
        <f t="shared" si="35"/>
        <v>4740.13</v>
      </c>
    </row>
    <row r="280" spans="1:9" x14ac:dyDescent="0.25">
      <c r="A280" s="41" t="s">
        <v>443</v>
      </c>
      <c r="B280" s="41" t="s">
        <v>403</v>
      </c>
      <c r="C280" s="41" t="s">
        <v>25</v>
      </c>
      <c r="D280" s="64" t="s">
        <v>404</v>
      </c>
      <c r="E280" s="41" t="s">
        <v>27</v>
      </c>
      <c r="F280" s="44">
        <v>8.32</v>
      </c>
      <c r="G280" s="60">
        <v>322.92</v>
      </c>
      <c r="H280" s="45">
        <f t="shared" si="34"/>
        <v>384.37</v>
      </c>
      <c r="I280" s="45">
        <f t="shared" si="35"/>
        <v>3197.95</v>
      </c>
    </row>
    <row r="281" spans="1:9" x14ac:dyDescent="0.25">
      <c r="A281" s="46"/>
      <c r="B281" s="47"/>
      <c r="C281" s="48"/>
      <c r="D281" s="49" t="s">
        <v>444</v>
      </c>
      <c r="E281" s="50" t="s">
        <v>31</v>
      </c>
      <c r="F281" s="67"/>
      <c r="G281" s="52"/>
      <c r="H281" s="52"/>
      <c r="I281" s="53">
        <f>SUM(I245:I280)</f>
        <v>243008.39</v>
      </c>
    </row>
    <row r="282" spans="1:9" x14ac:dyDescent="0.25">
      <c r="A282" s="54" t="s">
        <v>445</v>
      </c>
      <c r="B282" s="54"/>
      <c r="C282" s="54"/>
      <c r="D282" s="39" t="s">
        <v>446</v>
      </c>
      <c r="E282" s="54"/>
      <c r="F282" s="79"/>
      <c r="G282" s="57"/>
      <c r="H282" s="57"/>
      <c r="I282" s="57"/>
    </row>
    <row r="283" spans="1:9" ht="36" x14ac:dyDescent="0.25">
      <c r="A283" s="41" t="s">
        <v>447</v>
      </c>
      <c r="B283" s="41">
        <v>96114</v>
      </c>
      <c r="C283" s="41" t="s">
        <v>25</v>
      </c>
      <c r="D283" s="64" t="s">
        <v>448</v>
      </c>
      <c r="E283" s="41" t="s">
        <v>27</v>
      </c>
      <c r="F283" s="44">
        <f>29.9+169.17</f>
        <v>199.07</v>
      </c>
      <c r="G283" s="60">
        <v>60.31</v>
      </c>
      <c r="H283" s="45">
        <f>TRUNC(G283*1.1903,2)</f>
        <v>71.78</v>
      </c>
      <c r="I283" s="45">
        <f>TRUNC(F283*H283,2)</f>
        <v>14289.24</v>
      </c>
    </row>
    <row r="284" spans="1:9" x14ac:dyDescent="0.25">
      <c r="A284" s="46"/>
      <c r="B284" s="47"/>
      <c r="C284" s="48"/>
      <c r="D284" s="49" t="s">
        <v>449</v>
      </c>
      <c r="E284" s="50" t="s">
        <v>31</v>
      </c>
      <c r="F284" s="67"/>
      <c r="G284" s="52"/>
      <c r="H284" s="52"/>
      <c r="I284" s="53">
        <f>SUM(I283)</f>
        <v>14289.24</v>
      </c>
    </row>
    <row r="285" spans="1:9" x14ac:dyDescent="0.25">
      <c r="A285" s="92" t="s">
        <v>450</v>
      </c>
      <c r="B285" s="93"/>
      <c r="C285" s="96"/>
      <c r="D285" s="39" t="s">
        <v>451</v>
      </c>
      <c r="E285" s="96"/>
      <c r="F285" s="94"/>
      <c r="G285" s="95"/>
      <c r="H285" s="95"/>
      <c r="I285" s="95"/>
    </row>
    <row r="286" spans="1:9" x14ac:dyDescent="0.25">
      <c r="A286" s="41"/>
      <c r="B286" s="41"/>
      <c r="C286" s="41"/>
      <c r="D286" s="74" t="s">
        <v>34</v>
      </c>
      <c r="E286" s="41"/>
      <c r="F286" s="66"/>
      <c r="G286" s="60"/>
      <c r="H286" s="60"/>
      <c r="I286" s="60"/>
    </row>
    <row r="287" spans="1:9" ht="24" x14ac:dyDescent="0.25">
      <c r="A287" s="41" t="s">
        <v>452</v>
      </c>
      <c r="B287" s="41">
        <v>88497</v>
      </c>
      <c r="C287" s="41" t="s">
        <v>25</v>
      </c>
      <c r="D287" s="64" t="s">
        <v>453</v>
      </c>
      <c r="E287" s="41" t="s">
        <v>27</v>
      </c>
      <c r="F287" s="44">
        <v>52.75</v>
      </c>
      <c r="G287" s="60">
        <v>11.15</v>
      </c>
      <c r="H287" s="45">
        <f t="shared" ref="H287:H296" si="36">TRUNC(G287*1.1903,2)</f>
        <v>13.27</v>
      </c>
      <c r="I287" s="45">
        <f t="shared" ref="I287:I296" si="37">TRUNC(F287*H287,2)</f>
        <v>699.99</v>
      </c>
    </row>
    <row r="288" spans="1:9" ht="24" x14ac:dyDescent="0.25">
      <c r="A288" s="41" t="s">
        <v>454</v>
      </c>
      <c r="B288" s="41">
        <v>88497</v>
      </c>
      <c r="C288" s="41" t="s">
        <v>25</v>
      </c>
      <c r="D288" s="64" t="s">
        <v>455</v>
      </c>
      <c r="E288" s="41" t="s">
        <v>27</v>
      </c>
      <c r="F288" s="44">
        <v>799.25</v>
      </c>
      <c r="G288" s="60">
        <v>11.15</v>
      </c>
      <c r="H288" s="45">
        <f t="shared" si="36"/>
        <v>13.27</v>
      </c>
      <c r="I288" s="45">
        <f t="shared" si="37"/>
        <v>10606.04</v>
      </c>
    </row>
    <row r="289" spans="1:9" ht="24" x14ac:dyDescent="0.25">
      <c r="A289" s="41" t="s">
        <v>456</v>
      </c>
      <c r="B289" s="41">
        <v>88485</v>
      </c>
      <c r="C289" s="41" t="s">
        <v>25</v>
      </c>
      <c r="D289" s="64" t="s">
        <v>457</v>
      </c>
      <c r="E289" s="41" t="s">
        <v>27</v>
      </c>
      <c r="F289" s="44">
        <v>52.75</v>
      </c>
      <c r="G289" s="60">
        <v>1.71</v>
      </c>
      <c r="H289" s="45">
        <f t="shared" si="36"/>
        <v>2.0299999999999998</v>
      </c>
      <c r="I289" s="45">
        <f t="shared" si="37"/>
        <v>107.08</v>
      </c>
    </row>
    <row r="290" spans="1:9" ht="24" x14ac:dyDescent="0.25">
      <c r="A290" s="41" t="s">
        <v>458</v>
      </c>
      <c r="B290" s="41">
        <v>88485</v>
      </c>
      <c r="C290" s="41" t="s">
        <v>25</v>
      </c>
      <c r="D290" s="64" t="s">
        <v>459</v>
      </c>
      <c r="E290" s="41" t="s">
        <v>27</v>
      </c>
      <c r="F290" s="44">
        <v>799.25</v>
      </c>
      <c r="G290" s="60">
        <v>1.71</v>
      </c>
      <c r="H290" s="45">
        <f t="shared" si="36"/>
        <v>2.0299999999999998</v>
      </c>
      <c r="I290" s="45">
        <f t="shared" si="37"/>
        <v>1622.47</v>
      </c>
    </row>
    <row r="291" spans="1:9" x14ac:dyDescent="0.25">
      <c r="A291" s="41" t="s">
        <v>460</v>
      </c>
      <c r="B291" s="41" t="s">
        <v>461</v>
      </c>
      <c r="C291" s="41" t="s">
        <v>42</v>
      </c>
      <c r="D291" s="64" t="s">
        <v>462</v>
      </c>
      <c r="E291" s="41" t="s">
        <v>27</v>
      </c>
      <c r="F291" s="44">
        <v>1864.91</v>
      </c>
      <c r="G291" s="60">
        <f>Composição!H13</f>
        <v>4.3674999999999997</v>
      </c>
      <c r="H291" s="45">
        <f t="shared" si="36"/>
        <v>5.19</v>
      </c>
      <c r="I291" s="45">
        <f t="shared" si="37"/>
        <v>9678.8799999999992</v>
      </c>
    </row>
    <row r="292" spans="1:9" ht="24" x14ac:dyDescent="0.25">
      <c r="A292" s="41" t="s">
        <v>463</v>
      </c>
      <c r="B292" s="41">
        <v>88489</v>
      </c>
      <c r="C292" s="41" t="s">
        <v>25</v>
      </c>
      <c r="D292" s="64" t="s">
        <v>464</v>
      </c>
      <c r="E292" s="41" t="s">
        <v>27</v>
      </c>
      <c r="F292" s="44">
        <v>2716.9</v>
      </c>
      <c r="G292" s="60">
        <v>10.63</v>
      </c>
      <c r="H292" s="45">
        <f t="shared" si="36"/>
        <v>12.65</v>
      </c>
      <c r="I292" s="45">
        <f t="shared" si="37"/>
        <v>34368.78</v>
      </c>
    </row>
    <row r="293" spans="1:9" x14ac:dyDescent="0.25">
      <c r="A293" s="41" t="s">
        <v>465</v>
      </c>
      <c r="B293" s="41">
        <v>88496</v>
      </c>
      <c r="C293" s="41" t="s">
        <v>25</v>
      </c>
      <c r="D293" s="64" t="s">
        <v>466</v>
      </c>
      <c r="E293" s="41" t="s">
        <v>27</v>
      </c>
      <c r="F293" s="44">
        <f>F294*0.2</f>
        <v>142.90799999999999</v>
      </c>
      <c r="G293" s="60">
        <v>20.62</v>
      </c>
      <c r="H293" s="45">
        <f t="shared" si="36"/>
        <v>24.54</v>
      </c>
      <c r="I293" s="45">
        <f t="shared" si="37"/>
        <v>3506.96</v>
      </c>
    </row>
    <row r="294" spans="1:9" ht="24" x14ac:dyDescent="0.25">
      <c r="A294" s="41" t="s">
        <v>467</v>
      </c>
      <c r="B294" s="41">
        <v>88486</v>
      </c>
      <c r="C294" s="41" t="s">
        <v>25</v>
      </c>
      <c r="D294" s="64" t="s">
        <v>468</v>
      </c>
      <c r="E294" s="41" t="s">
        <v>27</v>
      </c>
      <c r="F294" s="44">
        <v>714.54</v>
      </c>
      <c r="G294" s="60">
        <v>9.39</v>
      </c>
      <c r="H294" s="45">
        <f t="shared" si="36"/>
        <v>11.17</v>
      </c>
      <c r="I294" s="45">
        <f t="shared" si="37"/>
        <v>7981.41</v>
      </c>
    </row>
    <row r="295" spans="1:9" ht="24" x14ac:dyDescent="0.25">
      <c r="A295" s="41" t="s">
        <v>469</v>
      </c>
      <c r="B295" s="41" t="s">
        <v>470</v>
      </c>
      <c r="C295" s="41" t="s">
        <v>25</v>
      </c>
      <c r="D295" s="64" t="s">
        <v>471</v>
      </c>
      <c r="E295" s="41" t="s">
        <v>27</v>
      </c>
      <c r="F295" s="44">
        <v>92.52</v>
      </c>
      <c r="G295" s="60">
        <v>24.23</v>
      </c>
      <c r="H295" s="45">
        <f t="shared" si="36"/>
        <v>28.84</v>
      </c>
      <c r="I295" s="45">
        <f t="shared" si="37"/>
        <v>2668.27</v>
      </c>
    </row>
    <row r="296" spans="1:9" ht="36" x14ac:dyDescent="0.25">
      <c r="A296" s="41" t="s">
        <v>472</v>
      </c>
      <c r="B296" s="41" t="s">
        <v>473</v>
      </c>
      <c r="C296" s="41" t="s">
        <v>25</v>
      </c>
      <c r="D296" s="73" t="s">
        <v>474</v>
      </c>
      <c r="E296" s="41" t="s">
        <v>27</v>
      </c>
      <c r="F296" s="44">
        <v>110.48</v>
      </c>
      <c r="G296" s="60">
        <v>15.63</v>
      </c>
      <c r="H296" s="45">
        <f t="shared" si="36"/>
        <v>18.600000000000001</v>
      </c>
      <c r="I296" s="45">
        <f t="shared" si="37"/>
        <v>2054.92</v>
      </c>
    </row>
    <row r="297" spans="1:9" x14ac:dyDescent="0.25">
      <c r="A297" s="41"/>
      <c r="B297" s="41"/>
      <c r="C297" s="41"/>
      <c r="D297" s="59" t="s">
        <v>204</v>
      </c>
      <c r="E297" s="41"/>
      <c r="F297" s="66"/>
      <c r="G297" s="60"/>
      <c r="H297" s="60"/>
      <c r="I297" s="60"/>
    </row>
    <row r="298" spans="1:9" ht="24" x14ac:dyDescent="0.25">
      <c r="A298" s="41" t="s">
        <v>475</v>
      </c>
      <c r="B298" s="41">
        <v>88497</v>
      </c>
      <c r="C298" s="41" t="s">
        <v>25</v>
      </c>
      <c r="D298" s="64" t="s">
        <v>453</v>
      </c>
      <c r="E298" s="41" t="s">
        <v>27</v>
      </c>
      <c r="F298" s="44">
        <v>176.03</v>
      </c>
      <c r="G298" s="60">
        <v>11.15</v>
      </c>
      <c r="H298" s="45">
        <f t="shared" ref="H298:H308" si="38">TRUNC(G298*1.1903,2)</f>
        <v>13.27</v>
      </c>
      <c r="I298" s="45">
        <f t="shared" ref="I298:I308" si="39">TRUNC(F298*H298,2)</f>
        <v>2335.91</v>
      </c>
    </row>
    <row r="299" spans="1:9" ht="24" x14ac:dyDescent="0.25">
      <c r="A299" s="41" t="s">
        <v>476</v>
      </c>
      <c r="B299" s="41">
        <v>88497</v>
      </c>
      <c r="C299" s="41" t="s">
        <v>25</v>
      </c>
      <c r="D299" s="64" t="s">
        <v>455</v>
      </c>
      <c r="E299" s="41" t="s">
        <v>27</v>
      </c>
      <c r="F299" s="44">
        <v>1317.45</v>
      </c>
      <c r="G299" s="60">
        <v>11.15</v>
      </c>
      <c r="H299" s="45">
        <f t="shared" si="38"/>
        <v>13.27</v>
      </c>
      <c r="I299" s="45">
        <f t="shared" si="39"/>
        <v>17482.560000000001</v>
      </c>
    </row>
    <row r="300" spans="1:9" ht="24" x14ac:dyDescent="0.25">
      <c r="A300" s="41" t="s">
        <v>477</v>
      </c>
      <c r="B300" s="41">
        <v>88485</v>
      </c>
      <c r="C300" s="41" t="s">
        <v>25</v>
      </c>
      <c r="D300" s="64" t="s">
        <v>457</v>
      </c>
      <c r="E300" s="41" t="s">
        <v>27</v>
      </c>
      <c r="F300" s="44">
        <v>176.03</v>
      </c>
      <c r="G300" s="60">
        <v>1.71</v>
      </c>
      <c r="H300" s="45">
        <f t="shared" si="38"/>
        <v>2.0299999999999998</v>
      </c>
      <c r="I300" s="45">
        <f t="shared" si="39"/>
        <v>357.34</v>
      </c>
    </row>
    <row r="301" spans="1:9" ht="24" x14ac:dyDescent="0.25">
      <c r="A301" s="41" t="s">
        <v>478</v>
      </c>
      <c r="B301" s="41">
        <v>88485</v>
      </c>
      <c r="C301" s="41" t="s">
        <v>25</v>
      </c>
      <c r="D301" s="64" t="s">
        <v>459</v>
      </c>
      <c r="E301" s="41" t="s">
        <v>27</v>
      </c>
      <c r="F301" s="44">
        <v>1317.45</v>
      </c>
      <c r="G301" s="60">
        <v>1.71</v>
      </c>
      <c r="H301" s="45">
        <f t="shared" si="38"/>
        <v>2.0299999999999998</v>
      </c>
      <c r="I301" s="45">
        <f t="shared" si="39"/>
        <v>2674.42</v>
      </c>
    </row>
    <row r="302" spans="1:9" x14ac:dyDescent="0.25">
      <c r="A302" s="41" t="s">
        <v>479</v>
      </c>
      <c r="B302" s="41" t="s">
        <v>480</v>
      </c>
      <c r="C302" s="41" t="s">
        <v>42</v>
      </c>
      <c r="D302" s="64" t="s">
        <v>462</v>
      </c>
      <c r="E302" s="41" t="s">
        <v>27</v>
      </c>
      <c r="F302" s="44">
        <v>3074.06</v>
      </c>
      <c r="G302" s="60">
        <f>Composição!H13</f>
        <v>4.3674999999999997</v>
      </c>
      <c r="H302" s="45">
        <f t="shared" si="38"/>
        <v>5.19</v>
      </c>
      <c r="I302" s="45">
        <f t="shared" si="39"/>
        <v>15954.37</v>
      </c>
    </row>
    <row r="303" spans="1:9" ht="24" x14ac:dyDescent="0.25">
      <c r="A303" s="41" t="s">
        <v>481</v>
      </c>
      <c r="B303" s="41">
        <v>88489</v>
      </c>
      <c r="C303" s="41" t="s">
        <v>25</v>
      </c>
      <c r="D303" s="64" t="s">
        <v>464</v>
      </c>
      <c r="E303" s="41" t="s">
        <v>27</v>
      </c>
      <c r="F303" s="44">
        <v>4567.55</v>
      </c>
      <c r="G303" s="60">
        <v>10.63</v>
      </c>
      <c r="H303" s="45">
        <f t="shared" si="38"/>
        <v>12.65</v>
      </c>
      <c r="I303" s="45">
        <f t="shared" si="39"/>
        <v>57779.5</v>
      </c>
    </row>
    <row r="304" spans="1:9" ht="24" x14ac:dyDescent="0.25">
      <c r="A304" s="41" t="s">
        <v>482</v>
      </c>
      <c r="B304" s="41">
        <v>88489</v>
      </c>
      <c r="C304" s="41" t="s">
        <v>25</v>
      </c>
      <c r="D304" s="64" t="s">
        <v>483</v>
      </c>
      <c r="E304" s="41" t="s">
        <v>27</v>
      </c>
      <c r="F304" s="44">
        <v>42.38</v>
      </c>
      <c r="G304" s="60">
        <v>10.63</v>
      </c>
      <c r="H304" s="45">
        <f t="shared" si="38"/>
        <v>12.65</v>
      </c>
      <c r="I304" s="45">
        <f t="shared" si="39"/>
        <v>536.1</v>
      </c>
    </row>
    <row r="305" spans="1:9" x14ac:dyDescent="0.25">
      <c r="A305" s="41" t="s">
        <v>484</v>
      </c>
      <c r="B305" s="41">
        <v>88496</v>
      </c>
      <c r="C305" s="41" t="s">
        <v>25</v>
      </c>
      <c r="D305" s="64" t="s">
        <v>466</v>
      </c>
      <c r="E305" s="41" t="s">
        <v>27</v>
      </c>
      <c r="F305" s="44">
        <f>F306*0.2</f>
        <v>302.488</v>
      </c>
      <c r="G305" s="60">
        <v>20.62</v>
      </c>
      <c r="H305" s="45">
        <f t="shared" si="38"/>
        <v>24.54</v>
      </c>
      <c r="I305" s="45">
        <f t="shared" si="39"/>
        <v>7423.05</v>
      </c>
    </row>
    <row r="306" spans="1:9" ht="24" x14ac:dyDescent="0.25">
      <c r="A306" s="41" t="s">
        <v>485</v>
      </c>
      <c r="B306" s="41">
        <v>88486</v>
      </c>
      <c r="C306" s="41" t="s">
        <v>25</v>
      </c>
      <c r="D306" s="64" t="s">
        <v>468</v>
      </c>
      <c r="E306" s="41" t="s">
        <v>27</v>
      </c>
      <c r="F306" s="44">
        <v>1512.44</v>
      </c>
      <c r="G306" s="60">
        <v>9.39</v>
      </c>
      <c r="H306" s="45">
        <f t="shared" si="38"/>
        <v>11.17</v>
      </c>
      <c r="I306" s="45">
        <f t="shared" si="39"/>
        <v>16893.95</v>
      </c>
    </row>
    <row r="307" spans="1:9" ht="24" x14ac:dyDescent="0.25">
      <c r="A307" s="41" t="s">
        <v>486</v>
      </c>
      <c r="B307" s="41" t="s">
        <v>470</v>
      </c>
      <c r="C307" s="41" t="s">
        <v>25</v>
      </c>
      <c r="D307" s="64" t="s">
        <v>471</v>
      </c>
      <c r="E307" s="41" t="s">
        <v>27</v>
      </c>
      <c r="F307" s="44">
        <v>396.78</v>
      </c>
      <c r="G307" s="60">
        <v>24.23</v>
      </c>
      <c r="H307" s="45">
        <f t="shared" si="38"/>
        <v>28.84</v>
      </c>
      <c r="I307" s="45">
        <f t="shared" si="39"/>
        <v>11443.13</v>
      </c>
    </row>
    <row r="308" spans="1:9" ht="36" x14ac:dyDescent="0.25">
      <c r="A308" s="41" t="s">
        <v>487</v>
      </c>
      <c r="B308" s="41" t="s">
        <v>473</v>
      </c>
      <c r="C308" s="41" t="s">
        <v>25</v>
      </c>
      <c r="D308" s="64" t="s">
        <v>488</v>
      </c>
      <c r="E308" s="41" t="s">
        <v>27</v>
      </c>
      <c r="F308" s="44">
        <v>410.66</v>
      </c>
      <c r="G308" s="60">
        <v>15.63</v>
      </c>
      <c r="H308" s="45">
        <f t="shared" si="38"/>
        <v>18.600000000000001</v>
      </c>
      <c r="I308" s="45">
        <f t="shared" si="39"/>
        <v>7638.27</v>
      </c>
    </row>
    <row r="309" spans="1:9" x14ac:dyDescent="0.25">
      <c r="A309" s="41"/>
      <c r="B309" s="41"/>
      <c r="C309" s="41"/>
      <c r="D309" s="59" t="s">
        <v>99</v>
      </c>
      <c r="E309" s="41"/>
      <c r="F309" s="66"/>
      <c r="G309" s="60"/>
      <c r="H309" s="60"/>
      <c r="I309" s="60"/>
    </row>
    <row r="310" spans="1:9" ht="24" x14ac:dyDescent="0.25">
      <c r="A310" s="41" t="s">
        <v>489</v>
      </c>
      <c r="B310" s="41">
        <v>88497</v>
      </c>
      <c r="C310" s="41" t="s">
        <v>25</v>
      </c>
      <c r="D310" s="64" t="s">
        <v>453</v>
      </c>
      <c r="E310" s="41" t="s">
        <v>27</v>
      </c>
      <c r="F310" s="44">
        <v>8.4</v>
      </c>
      <c r="G310" s="60">
        <v>11.15</v>
      </c>
      <c r="H310" s="45">
        <f t="shared" ref="H310:H317" si="40">TRUNC(G310*1.1903,2)</f>
        <v>13.27</v>
      </c>
      <c r="I310" s="45">
        <f t="shared" ref="I310:I317" si="41">TRUNC(F310*H310,2)</f>
        <v>111.46</v>
      </c>
    </row>
    <row r="311" spans="1:9" ht="24" x14ac:dyDescent="0.25">
      <c r="A311" s="41" t="s">
        <v>490</v>
      </c>
      <c r="B311" s="41">
        <v>88497</v>
      </c>
      <c r="C311" s="41" t="s">
        <v>25</v>
      </c>
      <c r="D311" s="64" t="s">
        <v>455</v>
      </c>
      <c r="E311" s="41" t="s">
        <v>27</v>
      </c>
      <c r="F311" s="44">
        <v>129.97</v>
      </c>
      <c r="G311" s="60">
        <v>11.15</v>
      </c>
      <c r="H311" s="45">
        <f t="shared" si="40"/>
        <v>13.27</v>
      </c>
      <c r="I311" s="45">
        <f t="shared" si="41"/>
        <v>1724.7</v>
      </c>
    </row>
    <row r="312" spans="1:9" ht="24" x14ac:dyDescent="0.25">
      <c r="A312" s="41" t="s">
        <v>491</v>
      </c>
      <c r="B312" s="41">
        <v>88485</v>
      </c>
      <c r="C312" s="41" t="s">
        <v>25</v>
      </c>
      <c r="D312" s="64" t="s">
        <v>457</v>
      </c>
      <c r="E312" s="41" t="s">
        <v>27</v>
      </c>
      <c r="F312" s="44">
        <v>8.4</v>
      </c>
      <c r="G312" s="60">
        <v>1.71</v>
      </c>
      <c r="H312" s="45">
        <f t="shared" si="40"/>
        <v>2.0299999999999998</v>
      </c>
      <c r="I312" s="45">
        <f t="shared" si="41"/>
        <v>17.05</v>
      </c>
    </row>
    <row r="313" spans="1:9" ht="24" x14ac:dyDescent="0.25">
      <c r="A313" s="41" t="s">
        <v>492</v>
      </c>
      <c r="B313" s="41">
        <v>88485</v>
      </c>
      <c r="C313" s="41" t="s">
        <v>25</v>
      </c>
      <c r="D313" s="64" t="s">
        <v>459</v>
      </c>
      <c r="E313" s="41" t="s">
        <v>27</v>
      </c>
      <c r="F313" s="44">
        <v>129.97</v>
      </c>
      <c r="G313" s="60">
        <v>1.71</v>
      </c>
      <c r="H313" s="45">
        <f t="shared" si="40"/>
        <v>2.0299999999999998</v>
      </c>
      <c r="I313" s="45">
        <f t="shared" si="41"/>
        <v>263.83</v>
      </c>
    </row>
    <row r="314" spans="1:9" x14ac:dyDescent="0.25">
      <c r="A314" s="41" t="s">
        <v>493</v>
      </c>
      <c r="B314" s="41" t="s">
        <v>480</v>
      </c>
      <c r="C314" s="41" t="s">
        <v>42</v>
      </c>
      <c r="D314" s="64" t="s">
        <v>462</v>
      </c>
      <c r="E314" s="41" t="s">
        <v>27</v>
      </c>
      <c r="F314" s="44">
        <v>303.26</v>
      </c>
      <c r="G314" s="60">
        <f>Composição!H13</f>
        <v>4.3674999999999997</v>
      </c>
      <c r="H314" s="45">
        <f t="shared" si="40"/>
        <v>5.19</v>
      </c>
      <c r="I314" s="45">
        <f t="shared" si="41"/>
        <v>1573.91</v>
      </c>
    </row>
    <row r="315" spans="1:9" ht="24" x14ac:dyDescent="0.25">
      <c r="A315" s="41" t="s">
        <v>494</v>
      </c>
      <c r="B315" s="41">
        <v>88489</v>
      </c>
      <c r="C315" s="41" t="s">
        <v>25</v>
      </c>
      <c r="D315" s="64" t="s">
        <v>464</v>
      </c>
      <c r="E315" s="41" t="s">
        <v>27</v>
      </c>
      <c r="F315" s="44">
        <v>440.22</v>
      </c>
      <c r="G315" s="60">
        <v>10.63</v>
      </c>
      <c r="H315" s="45">
        <f t="shared" si="40"/>
        <v>12.65</v>
      </c>
      <c r="I315" s="45">
        <f t="shared" si="41"/>
        <v>5568.78</v>
      </c>
    </row>
    <row r="316" spans="1:9" ht="24" x14ac:dyDescent="0.25">
      <c r="A316" s="41" t="s">
        <v>495</v>
      </c>
      <c r="B316" s="41" t="s">
        <v>470</v>
      </c>
      <c r="C316" s="41" t="s">
        <v>25</v>
      </c>
      <c r="D316" s="64" t="s">
        <v>471</v>
      </c>
      <c r="E316" s="41" t="s">
        <v>27</v>
      </c>
      <c r="F316" s="44">
        <v>11.52</v>
      </c>
      <c r="G316" s="60">
        <v>24.23</v>
      </c>
      <c r="H316" s="45">
        <f t="shared" si="40"/>
        <v>28.84</v>
      </c>
      <c r="I316" s="45">
        <f t="shared" si="41"/>
        <v>332.23</v>
      </c>
    </row>
    <row r="317" spans="1:9" ht="36" x14ac:dyDescent="0.25">
      <c r="A317" s="41" t="s">
        <v>496</v>
      </c>
      <c r="B317" s="41" t="s">
        <v>473</v>
      </c>
      <c r="C317" s="41" t="s">
        <v>25</v>
      </c>
      <c r="D317" s="64" t="s">
        <v>488</v>
      </c>
      <c r="E317" s="41" t="s">
        <v>27</v>
      </c>
      <c r="F317" s="44">
        <v>16.64</v>
      </c>
      <c r="G317" s="60">
        <v>15.63</v>
      </c>
      <c r="H317" s="45">
        <f t="shared" si="40"/>
        <v>18.600000000000001</v>
      </c>
      <c r="I317" s="45">
        <f t="shared" si="41"/>
        <v>309.5</v>
      </c>
    </row>
    <row r="318" spans="1:9" x14ac:dyDescent="0.25">
      <c r="A318" s="41"/>
      <c r="B318" s="41"/>
      <c r="C318" s="41"/>
      <c r="D318" s="59" t="s">
        <v>497</v>
      </c>
      <c r="E318" s="41"/>
      <c r="F318" s="44"/>
      <c r="G318" s="60"/>
      <c r="H318" s="60"/>
      <c r="I318" s="60"/>
    </row>
    <row r="319" spans="1:9" ht="24" x14ac:dyDescent="0.25">
      <c r="A319" s="41" t="s">
        <v>498</v>
      </c>
      <c r="B319" s="41">
        <v>88489</v>
      </c>
      <c r="C319" s="41" t="s">
        <v>25</v>
      </c>
      <c r="D319" s="64" t="s">
        <v>464</v>
      </c>
      <c r="E319" s="41" t="s">
        <v>27</v>
      </c>
      <c r="F319" s="44">
        <v>2948</v>
      </c>
      <c r="G319" s="60">
        <v>10.63</v>
      </c>
      <c r="H319" s="45">
        <f>TRUNC(G319*1.1903,2)</f>
        <v>12.65</v>
      </c>
      <c r="I319" s="45">
        <f>TRUNC(F319*H319,2)</f>
        <v>37292.199999999997</v>
      </c>
    </row>
    <row r="320" spans="1:9" x14ac:dyDescent="0.25">
      <c r="A320" s="46"/>
      <c r="B320" s="47"/>
      <c r="C320" s="48"/>
      <c r="D320" s="49" t="s">
        <v>499</v>
      </c>
      <c r="E320" s="50" t="s">
        <v>31</v>
      </c>
      <c r="F320" s="67"/>
      <c r="G320" s="52"/>
      <c r="H320" s="52"/>
      <c r="I320" s="53">
        <f>SUM(I287:I319)</f>
        <v>261007.06</v>
      </c>
    </row>
    <row r="321" spans="1:9" x14ac:dyDescent="0.25">
      <c r="A321" s="68" t="s">
        <v>500</v>
      </c>
      <c r="B321" s="69"/>
      <c r="C321" s="69"/>
      <c r="D321" s="39" t="s">
        <v>501</v>
      </c>
      <c r="E321" s="69"/>
      <c r="F321" s="70"/>
      <c r="G321" s="71"/>
      <c r="H321" s="71"/>
      <c r="I321" s="71"/>
    </row>
    <row r="322" spans="1:9" ht="24" x14ac:dyDescent="0.25">
      <c r="A322" s="41" t="s">
        <v>502</v>
      </c>
      <c r="B322" s="41">
        <v>72117</v>
      </c>
      <c r="C322" s="41" t="s">
        <v>25</v>
      </c>
      <c r="D322" s="64" t="s">
        <v>503</v>
      </c>
      <c r="E322" s="41" t="s">
        <v>27</v>
      </c>
      <c r="F322" s="44">
        <v>1.76</v>
      </c>
      <c r="G322" s="60">
        <v>130.77000000000001</v>
      </c>
      <c r="H322" s="45">
        <f>TRUNC(G322*1.1903,2)</f>
        <v>155.65</v>
      </c>
      <c r="I322" s="45">
        <f>TRUNC(F322*H322,2)</f>
        <v>273.94</v>
      </c>
    </row>
    <row r="323" spans="1:9" x14ac:dyDescent="0.25">
      <c r="A323" s="41" t="s">
        <v>504</v>
      </c>
      <c r="B323" s="41" t="s">
        <v>505</v>
      </c>
      <c r="C323" s="41" t="s">
        <v>25</v>
      </c>
      <c r="D323" s="64" t="s">
        <v>506</v>
      </c>
      <c r="E323" s="41" t="s">
        <v>27</v>
      </c>
      <c r="F323" s="44">
        <v>5.76</v>
      </c>
      <c r="G323" s="60">
        <v>389.81</v>
      </c>
      <c r="H323" s="45">
        <f>TRUNC(G323*1.1903,2)</f>
        <v>463.99</v>
      </c>
      <c r="I323" s="45">
        <f>TRUNC(F323*H323,2)</f>
        <v>2672.58</v>
      </c>
    </row>
    <row r="324" spans="1:9" x14ac:dyDescent="0.25">
      <c r="A324" s="46"/>
      <c r="B324" s="47"/>
      <c r="C324" s="48"/>
      <c r="D324" s="49" t="s">
        <v>507</v>
      </c>
      <c r="E324" s="50" t="s">
        <v>31</v>
      </c>
      <c r="F324" s="67"/>
      <c r="G324" s="52"/>
      <c r="H324" s="52"/>
      <c r="I324" s="53">
        <f>SUM(I322:I323)</f>
        <v>2946.52</v>
      </c>
    </row>
    <row r="325" spans="1:9" x14ac:dyDescent="0.25">
      <c r="A325" s="68" t="s">
        <v>508</v>
      </c>
      <c r="B325" s="69"/>
      <c r="C325" s="69"/>
      <c r="D325" s="39" t="s">
        <v>509</v>
      </c>
      <c r="E325" s="69"/>
      <c r="F325" s="70"/>
      <c r="G325" s="71"/>
      <c r="H325" s="71"/>
      <c r="I325" s="71"/>
    </row>
    <row r="326" spans="1:9" x14ac:dyDescent="0.25">
      <c r="A326" s="41"/>
      <c r="B326" s="41"/>
      <c r="C326" s="41"/>
      <c r="D326" s="59" t="s">
        <v>510</v>
      </c>
      <c r="E326" s="41"/>
      <c r="F326" s="66"/>
      <c r="G326" s="60"/>
      <c r="H326" s="60"/>
      <c r="I326" s="60"/>
    </row>
    <row r="327" spans="1:9" ht="36" x14ac:dyDescent="0.25">
      <c r="A327" s="41" t="s">
        <v>511</v>
      </c>
      <c r="B327" s="41">
        <v>89708</v>
      </c>
      <c r="C327" s="41" t="s">
        <v>25</v>
      </c>
      <c r="D327" s="64" t="s">
        <v>512</v>
      </c>
      <c r="E327" s="41" t="s">
        <v>46</v>
      </c>
      <c r="F327" s="44">
        <v>2</v>
      </c>
      <c r="G327" s="60">
        <v>49.73</v>
      </c>
      <c r="H327" s="45">
        <f t="shared" ref="H327:H352" si="42">TRUNC(G327*1.1903,2)</f>
        <v>59.19</v>
      </c>
      <c r="I327" s="45">
        <f t="shared" ref="I327:I352" si="43">TRUNC(F327*H327,2)</f>
        <v>118.38</v>
      </c>
    </row>
    <row r="328" spans="1:9" ht="36" x14ac:dyDescent="0.25">
      <c r="A328" s="41" t="s">
        <v>513</v>
      </c>
      <c r="B328" s="41">
        <v>89707</v>
      </c>
      <c r="C328" s="41" t="s">
        <v>25</v>
      </c>
      <c r="D328" s="64" t="s">
        <v>514</v>
      </c>
      <c r="E328" s="41" t="s">
        <v>46</v>
      </c>
      <c r="F328" s="44">
        <f>2+1</f>
        <v>3</v>
      </c>
      <c r="G328" s="60">
        <v>22.58</v>
      </c>
      <c r="H328" s="45">
        <f t="shared" si="42"/>
        <v>26.87</v>
      </c>
      <c r="I328" s="45">
        <f t="shared" si="43"/>
        <v>80.61</v>
      </c>
    </row>
    <row r="329" spans="1:9" ht="24" x14ac:dyDescent="0.25">
      <c r="A329" s="41" t="s">
        <v>515</v>
      </c>
      <c r="B329" s="41">
        <v>86883</v>
      </c>
      <c r="C329" s="41" t="s">
        <v>25</v>
      </c>
      <c r="D329" s="64" t="s">
        <v>516</v>
      </c>
      <c r="E329" s="41" t="s">
        <v>46</v>
      </c>
      <c r="F329" s="44">
        <v>7</v>
      </c>
      <c r="G329" s="60">
        <v>12.27</v>
      </c>
      <c r="H329" s="45">
        <f t="shared" si="42"/>
        <v>14.6</v>
      </c>
      <c r="I329" s="45">
        <f t="shared" si="43"/>
        <v>102.2</v>
      </c>
    </row>
    <row r="330" spans="1:9" ht="24" x14ac:dyDescent="0.25">
      <c r="A330" s="41" t="s">
        <v>517</v>
      </c>
      <c r="B330" s="82">
        <v>86877</v>
      </c>
      <c r="C330" s="82" t="s">
        <v>25</v>
      </c>
      <c r="D330" s="80" t="s">
        <v>518</v>
      </c>
      <c r="E330" s="42" t="s">
        <v>46</v>
      </c>
      <c r="F330" s="44">
        <v>7</v>
      </c>
      <c r="G330" s="60">
        <v>27.05</v>
      </c>
      <c r="H330" s="45">
        <f t="shared" si="42"/>
        <v>32.19</v>
      </c>
      <c r="I330" s="45">
        <f t="shared" si="43"/>
        <v>225.33</v>
      </c>
    </row>
    <row r="331" spans="1:9" ht="36" x14ac:dyDescent="0.25">
      <c r="A331" s="41" t="s">
        <v>519</v>
      </c>
      <c r="B331" s="41">
        <v>89728</v>
      </c>
      <c r="C331" s="41" t="s">
        <v>25</v>
      </c>
      <c r="D331" s="64" t="s">
        <v>520</v>
      </c>
      <c r="E331" s="41" t="s">
        <v>46</v>
      </c>
      <c r="F331" s="44">
        <v>13</v>
      </c>
      <c r="G331" s="60">
        <v>7.18</v>
      </c>
      <c r="H331" s="45">
        <f t="shared" si="42"/>
        <v>8.5399999999999991</v>
      </c>
      <c r="I331" s="45">
        <f t="shared" si="43"/>
        <v>111.02</v>
      </c>
    </row>
    <row r="332" spans="1:9" ht="36" x14ac:dyDescent="0.25">
      <c r="A332" s="41" t="s">
        <v>521</v>
      </c>
      <c r="B332" s="41">
        <v>89748</v>
      </c>
      <c r="C332" s="41" t="s">
        <v>25</v>
      </c>
      <c r="D332" s="64" t="s">
        <v>522</v>
      </c>
      <c r="E332" s="41" t="s">
        <v>46</v>
      </c>
      <c r="F332" s="44">
        <v>4</v>
      </c>
      <c r="G332" s="60">
        <v>23.66</v>
      </c>
      <c r="H332" s="45">
        <f t="shared" si="42"/>
        <v>28.16</v>
      </c>
      <c r="I332" s="45">
        <f t="shared" si="43"/>
        <v>112.64</v>
      </c>
    </row>
    <row r="333" spans="1:9" ht="36" x14ac:dyDescent="0.25">
      <c r="A333" s="41" t="s">
        <v>523</v>
      </c>
      <c r="B333" s="41">
        <v>89746</v>
      </c>
      <c r="C333" s="41" t="s">
        <v>25</v>
      </c>
      <c r="D333" s="64" t="s">
        <v>524</v>
      </c>
      <c r="E333" s="41" t="s">
        <v>46</v>
      </c>
      <c r="F333" s="44">
        <f>1+1</f>
        <v>2</v>
      </c>
      <c r="G333" s="60">
        <v>16.3</v>
      </c>
      <c r="H333" s="45">
        <f t="shared" si="42"/>
        <v>19.399999999999999</v>
      </c>
      <c r="I333" s="45">
        <f t="shared" si="43"/>
        <v>38.799999999999997</v>
      </c>
    </row>
    <row r="334" spans="1:9" ht="36" x14ac:dyDescent="0.25">
      <c r="A334" s="41" t="s">
        <v>525</v>
      </c>
      <c r="B334" s="41">
        <v>89732</v>
      </c>
      <c r="C334" s="41" t="s">
        <v>25</v>
      </c>
      <c r="D334" s="64" t="s">
        <v>526</v>
      </c>
      <c r="E334" s="41" t="s">
        <v>46</v>
      </c>
      <c r="F334" s="44">
        <f>2+1</f>
        <v>3</v>
      </c>
      <c r="G334" s="60">
        <v>7.85</v>
      </c>
      <c r="H334" s="45">
        <f t="shared" si="42"/>
        <v>9.34</v>
      </c>
      <c r="I334" s="45">
        <f t="shared" si="43"/>
        <v>28.02</v>
      </c>
    </row>
    <row r="335" spans="1:9" ht="36" x14ac:dyDescent="0.25">
      <c r="A335" s="41" t="s">
        <v>527</v>
      </c>
      <c r="B335" s="41">
        <v>89726</v>
      </c>
      <c r="C335" s="41" t="s">
        <v>25</v>
      </c>
      <c r="D335" s="64" t="s">
        <v>528</v>
      </c>
      <c r="E335" s="41" t="s">
        <v>46</v>
      </c>
      <c r="F335" s="44">
        <v>6</v>
      </c>
      <c r="G335" s="60">
        <v>5.44</v>
      </c>
      <c r="H335" s="45">
        <f t="shared" si="42"/>
        <v>6.47</v>
      </c>
      <c r="I335" s="45">
        <f t="shared" si="43"/>
        <v>38.82</v>
      </c>
    </row>
    <row r="336" spans="1:9" ht="36" x14ac:dyDescent="0.25">
      <c r="A336" s="41" t="s">
        <v>529</v>
      </c>
      <c r="B336" s="41">
        <v>89731</v>
      </c>
      <c r="C336" s="41" t="s">
        <v>25</v>
      </c>
      <c r="D336" s="64" t="s">
        <v>530</v>
      </c>
      <c r="E336" s="41" t="s">
        <v>46</v>
      </c>
      <c r="F336" s="44">
        <v>8</v>
      </c>
      <c r="G336" s="60">
        <v>7.52</v>
      </c>
      <c r="H336" s="45">
        <f t="shared" si="42"/>
        <v>8.9499999999999993</v>
      </c>
      <c r="I336" s="45">
        <f t="shared" si="43"/>
        <v>71.599999999999994</v>
      </c>
    </row>
    <row r="337" spans="1:9" ht="36" x14ac:dyDescent="0.25">
      <c r="A337" s="41" t="s">
        <v>531</v>
      </c>
      <c r="B337" s="41">
        <v>89724</v>
      </c>
      <c r="C337" s="41" t="s">
        <v>25</v>
      </c>
      <c r="D337" s="64" t="s">
        <v>532</v>
      </c>
      <c r="E337" s="41" t="s">
        <v>46</v>
      </c>
      <c r="F337" s="44">
        <v>4</v>
      </c>
      <c r="G337" s="60">
        <v>6.83</v>
      </c>
      <c r="H337" s="45">
        <f t="shared" si="42"/>
        <v>8.1199999999999992</v>
      </c>
      <c r="I337" s="45">
        <f t="shared" si="43"/>
        <v>32.479999999999997</v>
      </c>
    </row>
    <row r="338" spans="1:9" x14ac:dyDescent="0.25">
      <c r="A338" s="41" t="s">
        <v>533</v>
      </c>
      <c r="B338" s="41">
        <v>72293</v>
      </c>
      <c r="C338" s="41" t="s">
        <v>25</v>
      </c>
      <c r="D338" s="64" t="s">
        <v>534</v>
      </c>
      <c r="E338" s="41" t="s">
        <v>46</v>
      </c>
      <c r="F338" s="44">
        <v>6</v>
      </c>
      <c r="G338" s="60">
        <v>5.16</v>
      </c>
      <c r="H338" s="45">
        <f t="shared" si="42"/>
        <v>6.14</v>
      </c>
      <c r="I338" s="45">
        <f t="shared" si="43"/>
        <v>36.840000000000003</v>
      </c>
    </row>
    <row r="339" spans="1:9" ht="36" x14ac:dyDescent="0.25">
      <c r="A339" s="41" t="s">
        <v>535</v>
      </c>
      <c r="B339" s="82">
        <v>89546</v>
      </c>
      <c r="C339" s="61" t="s">
        <v>25</v>
      </c>
      <c r="D339" s="97" t="s">
        <v>536</v>
      </c>
      <c r="E339" s="42" t="s">
        <v>46</v>
      </c>
      <c r="F339" s="44">
        <v>4</v>
      </c>
      <c r="G339" s="45">
        <v>6.51</v>
      </c>
      <c r="H339" s="45">
        <f t="shared" si="42"/>
        <v>7.74</v>
      </c>
      <c r="I339" s="45">
        <f t="shared" si="43"/>
        <v>30.96</v>
      </c>
    </row>
    <row r="340" spans="1:9" ht="24" x14ac:dyDescent="0.25">
      <c r="A340" s="41" t="s">
        <v>537</v>
      </c>
      <c r="B340" s="61" t="s">
        <v>538</v>
      </c>
      <c r="C340" s="61" t="s">
        <v>42</v>
      </c>
      <c r="D340" s="97" t="s">
        <v>539</v>
      </c>
      <c r="E340" s="42" t="s">
        <v>46</v>
      </c>
      <c r="F340" s="45">
        <v>3</v>
      </c>
      <c r="G340" s="45">
        <f>Composição!H200</f>
        <v>8.2526599999999988</v>
      </c>
      <c r="H340" s="45">
        <f t="shared" si="42"/>
        <v>9.82</v>
      </c>
      <c r="I340" s="45">
        <f t="shared" si="43"/>
        <v>29.46</v>
      </c>
    </row>
    <row r="341" spans="1:9" ht="36" x14ac:dyDescent="0.25">
      <c r="A341" s="41" t="s">
        <v>540</v>
      </c>
      <c r="B341" s="41">
        <v>89834</v>
      </c>
      <c r="C341" s="41" t="s">
        <v>25</v>
      </c>
      <c r="D341" s="64" t="s">
        <v>541</v>
      </c>
      <c r="E341" s="41" t="s">
        <v>46</v>
      </c>
      <c r="F341" s="44">
        <v>5</v>
      </c>
      <c r="G341" s="45">
        <v>22.75</v>
      </c>
      <c r="H341" s="45">
        <f t="shared" si="42"/>
        <v>27.07</v>
      </c>
      <c r="I341" s="45">
        <f t="shared" si="43"/>
        <v>135.35</v>
      </c>
    </row>
    <row r="342" spans="1:9" ht="36" x14ac:dyDescent="0.25">
      <c r="A342" s="41" t="s">
        <v>542</v>
      </c>
      <c r="B342" s="41">
        <v>89821</v>
      </c>
      <c r="C342" s="41" t="s">
        <v>25</v>
      </c>
      <c r="D342" s="64" t="s">
        <v>543</v>
      </c>
      <c r="E342" s="41" t="s">
        <v>46</v>
      </c>
      <c r="F342" s="44">
        <v>9</v>
      </c>
      <c r="G342" s="60">
        <v>8.98</v>
      </c>
      <c r="H342" s="45">
        <f t="shared" si="42"/>
        <v>10.68</v>
      </c>
      <c r="I342" s="45">
        <f t="shared" si="43"/>
        <v>96.12</v>
      </c>
    </row>
    <row r="343" spans="1:9" ht="36" x14ac:dyDescent="0.25">
      <c r="A343" s="41" t="s">
        <v>544</v>
      </c>
      <c r="B343" s="41">
        <v>89752</v>
      </c>
      <c r="C343" s="41" t="s">
        <v>25</v>
      </c>
      <c r="D343" s="64" t="s">
        <v>545</v>
      </c>
      <c r="E343" s="41" t="s">
        <v>46</v>
      </c>
      <c r="F343" s="44">
        <v>1</v>
      </c>
      <c r="G343" s="60">
        <v>4.4400000000000004</v>
      </c>
      <c r="H343" s="45">
        <f t="shared" si="42"/>
        <v>5.28</v>
      </c>
      <c r="I343" s="45">
        <f t="shared" si="43"/>
        <v>5.28</v>
      </c>
    </row>
    <row r="344" spans="1:9" ht="36" x14ac:dyDescent="0.25">
      <c r="A344" s="41" t="s">
        <v>546</v>
      </c>
      <c r="B344" s="41">
        <v>89753</v>
      </c>
      <c r="C344" s="41" t="s">
        <v>25</v>
      </c>
      <c r="D344" s="64" t="s">
        <v>547</v>
      </c>
      <c r="E344" s="41" t="s">
        <v>46</v>
      </c>
      <c r="F344" s="44">
        <v>15</v>
      </c>
      <c r="G344" s="60">
        <v>5.87</v>
      </c>
      <c r="H344" s="45">
        <f t="shared" si="42"/>
        <v>6.98</v>
      </c>
      <c r="I344" s="45">
        <f t="shared" si="43"/>
        <v>104.7</v>
      </c>
    </row>
    <row r="345" spans="1:9" ht="36" x14ac:dyDescent="0.25">
      <c r="A345" s="41" t="s">
        <v>548</v>
      </c>
      <c r="B345" s="41">
        <v>89712</v>
      </c>
      <c r="C345" s="41" t="s">
        <v>25</v>
      </c>
      <c r="D345" s="64" t="s">
        <v>549</v>
      </c>
      <c r="E345" s="41" t="s">
        <v>60</v>
      </c>
      <c r="F345" s="44">
        <v>25.43</v>
      </c>
      <c r="G345" s="60">
        <v>20.55</v>
      </c>
      <c r="H345" s="45">
        <f t="shared" si="42"/>
        <v>24.46</v>
      </c>
      <c r="I345" s="45">
        <f t="shared" si="43"/>
        <v>622.01</v>
      </c>
    </row>
    <row r="346" spans="1:9" ht="36" x14ac:dyDescent="0.25">
      <c r="A346" s="41" t="s">
        <v>550</v>
      </c>
      <c r="B346" s="41">
        <v>89711</v>
      </c>
      <c r="C346" s="41" t="s">
        <v>25</v>
      </c>
      <c r="D346" s="64" t="s">
        <v>551</v>
      </c>
      <c r="E346" s="41" t="s">
        <v>60</v>
      </c>
      <c r="F346" s="44">
        <v>11.38</v>
      </c>
      <c r="G346" s="60">
        <v>14.22</v>
      </c>
      <c r="H346" s="45">
        <f t="shared" si="42"/>
        <v>16.920000000000002</v>
      </c>
      <c r="I346" s="45">
        <f t="shared" si="43"/>
        <v>192.54</v>
      </c>
    </row>
    <row r="347" spans="1:9" ht="36" x14ac:dyDescent="0.25">
      <c r="A347" s="41" t="s">
        <v>552</v>
      </c>
      <c r="B347" s="41">
        <v>89714</v>
      </c>
      <c r="C347" s="41" t="s">
        <v>25</v>
      </c>
      <c r="D347" s="64" t="s">
        <v>553</v>
      </c>
      <c r="E347" s="41" t="s">
        <v>60</v>
      </c>
      <c r="F347" s="44">
        <f>6.48+41.35</f>
        <v>47.83</v>
      </c>
      <c r="G347" s="60">
        <v>40.43</v>
      </c>
      <c r="H347" s="45">
        <f t="shared" si="42"/>
        <v>48.12</v>
      </c>
      <c r="I347" s="45">
        <f t="shared" si="43"/>
        <v>2301.5700000000002</v>
      </c>
    </row>
    <row r="348" spans="1:9" ht="36" x14ac:dyDescent="0.25">
      <c r="A348" s="41" t="s">
        <v>554</v>
      </c>
      <c r="B348" s="82">
        <v>89782</v>
      </c>
      <c r="C348" s="61" t="s">
        <v>25</v>
      </c>
      <c r="D348" s="80" t="s">
        <v>555</v>
      </c>
      <c r="E348" s="42" t="s">
        <v>46</v>
      </c>
      <c r="F348" s="44">
        <v>2</v>
      </c>
      <c r="G348" s="60">
        <v>8.4499999999999993</v>
      </c>
      <c r="H348" s="45">
        <f t="shared" si="42"/>
        <v>10.050000000000001</v>
      </c>
      <c r="I348" s="45">
        <f t="shared" si="43"/>
        <v>20.100000000000001</v>
      </c>
    </row>
    <row r="349" spans="1:9" ht="36" x14ac:dyDescent="0.25">
      <c r="A349" s="41" t="s">
        <v>556</v>
      </c>
      <c r="B349" s="41">
        <v>89784</v>
      </c>
      <c r="C349" s="41" t="s">
        <v>25</v>
      </c>
      <c r="D349" s="64" t="s">
        <v>557</v>
      </c>
      <c r="E349" s="41" t="s">
        <v>46</v>
      </c>
      <c r="F349" s="44">
        <v>5</v>
      </c>
      <c r="G349" s="60">
        <v>12.83</v>
      </c>
      <c r="H349" s="45">
        <f t="shared" si="42"/>
        <v>15.27</v>
      </c>
      <c r="I349" s="45">
        <f t="shared" si="43"/>
        <v>76.349999999999994</v>
      </c>
    </row>
    <row r="350" spans="1:9" ht="36" x14ac:dyDescent="0.25">
      <c r="A350" s="41" t="s">
        <v>558</v>
      </c>
      <c r="B350" s="82">
        <v>89796</v>
      </c>
      <c r="C350" s="61" t="s">
        <v>25</v>
      </c>
      <c r="D350" s="80" t="s">
        <v>559</v>
      </c>
      <c r="E350" s="42" t="s">
        <v>46</v>
      </c>
      <c r="F350" s="44">
        <v>13</v>
      </c>
      <c r="G350" s="60">
        <v>26.02</v>
      </c>
      <c r="H350" s="45">
        <f t="shared" si="42"/>
        <v>30.97</v>
      </c>
      <c r="I350" s="45">
        <f t="shared" si="43"/>
        <v>402.61</v>
      </c>
    </row>
    <row r="351" spans="1:9" ht="36" x14ac:dyDescent="0.25">
      <c r="A351" s="41" t="s">
        <v>560</v>
      </c>
      <c r="B351" s="42" t="s">
        <v>561</v>
      </c>
      <c r="C351" s="82" t="s">
        <v>25</v>
      </c>
      <c r="D351" s="80" t="s">
        <v>562</v>
      </c>
      <c r="E351" s="42" t="s">
        <v>46</v>
      </c>
      <c r="F351" s="44">
        <v>4</v>
      </c>
      <c r="G351" s="98">
        <v>296.69</v>
      </c>
      <c r="H351" s="45">
        <f t="shared" si="42"/>
        <v>353.15</v>
      </c>
      <c r="I351" s="45">
        <f t="shared" si="43"/>
        <v>1412.6</v>
      </c>
    </row>
    <row r="352" spans="1:9" ht="36" x14ac:dyDescent="0.25">
      <c r="A352" s="41" t="s">
        <v>563</v>
      </c>
      <c r="B352" s="82">
        <v>89849</v>
      </c>
      <c r="C352" s="82" t="s">
        <v>25</v>
      </c>
      <c r="D352" s="80" t="s">
        <v>564</v>
      </c>
      <c r="E352" s="41" t="s">
        <v>60</v>
      </c>
      <c r="F352" s="44">
        <v>60</v>
      </c>
      <c r="G352" s="60">
        <v>36.97</v>
      </c>
      <c r="H352" s="45">
        <f t="shared" si="42"/>
        <v>44</v>
      </c>
      <c r="I352" s="45">
        <f t="shared" si="43"/>
        <v>2640</v>
      </c>
    </row>
    <row r="353" spans="1:9" x14ac:dyDescent="0.25">
      <c r="A353" s="46"/>
      <c r="B353" s="47"/>
      <c r="C353" s="48"/>
      <c r="D353" s="49" t="s">
        <v>565</v>
      </c>
      <c r="E353" s="50" t="s">
        <v>31</v>
      </c>
      <c r="F353" s="67"/>
      <c r="G353" s="52"/>
      <c r="H353" s="52"/>
      <c r="I353" s="53">
        <f>SUM(I327:I352)</f>
        <v>9066.3900000000012</v>
      </c>
    </row>
    <row r="354" spans="1:9" x14ac:dyDescent="0.25">
      <c r="A354" s="54" t="s">
        <v>566</v>
      </c>
      <c r="B354" s="54"/>
      <c r="C354" s="54"/>
      <c r="D354" s="39" t="s">
        <v>567</v>
      </c>
      <c r="E354" s="77"/>
      <c r="F354" s="78"/>
      <c r="G354" s="78"/>
      <c r="H354" s="78"/>
      <c r="I354" s="78"/>
    </row>
    <row r="355" spans="1:9" ht="24" x14ac:dyDescent="0.25">
      <c r="A355" s="41" t="s">
        <v>568</v>
      </c>
      <c r="B355" s="82">
        <v>94498</v>
      </c>
      <c r="C355" s="82" t="s">
        <v>25</v>
      </c>
      <c r="D355" s="97" t="s">
        <v>569</v>
      </c>
      <c r="E355" s="42" t="s">
        <v>46</v>
      </c>
      <c r="F355" s="44">
        <v>8</v>
      </c>
      <c r="G355" s="45">
        <v>77.650000000000006</v>
      </c>
      <c r="H355" s="45">
        <f t="shared" ref="H355:H365" si="44">TRUNC(G355*1.1903,2)</f>
        <v>92.42</v>
      </c>
      <c r="I355" s="45">
        <f t="shared" ref="I355:I365" si="45">TRUNC(F355*H355,2)</f>
        <v>739.36</v>
      </c>
    </row>
    <row r="356" spans="1:9" ht="24" x14ac:dyDescent="0.25">
      <c r="A356" s="41" t="s">
        <v>570</v>
      </c>
      <c r="B356" s="82">
        <v>94494</v>
      </c>
      <c r="C356" s="82" t="s">
        <v>25</v>
      </c>
      <c r="D356" s="97" t="s">
        <v>571</v>
      </c>
      <c r="E356" s="42" t="s">
        <v>46</v>
      </c>
      <c r="F356" s="44">
        <v>3</v>
      </c>
      <c r="G356" s="45">
        <v>41.17</v>
      </c>
      <c r="H356" s="45">
        <f t="shared" si="44"/>
        <v>49</v>
      </c>
      <c r="I356" s="45">
        <f t="shared" si="45"/>
        <v>147</v>
      </c>
    </row>
    <row r="357" spans="1:9" ht="36" x14ac:dyDescent="0.25">
      <c r="A357" s="41" t="s">
        <v>572</v>
      </c>
      <c r="B357" s="82">
        <v>86915</v>
      </c>
      <c r="C357" s="61" t="s">
        <v>25</v>
      </c>
      <c r="D357" s="97" t="s">
        <v>573</v>
      </c>
      <c r="E357" s="42" t="s">
        <v>46</v>
      </c>
      <c r="F357" s="44">
        <v>15</v>
      </c>
      <c r="G357" s="45">
        <v>88.64</v>
      </c>
      <c r="H357" s="45">
        <f t="shared" si="44"/>
        <v>105.5</v>
      </c>
      <c r="I357" s="45">
        <f t="shared" si="45"/>
        <v>1582.5</v>
      </c>
    </row>
    <row r="358" spans="1:9" ht="24" x14ac:dyDescent="0.25">
      <c r="A358" s="41" t="s">
        <v>574</v>
      </c>
      <c r="B358" s="41">
        <v>86914</v>
      </c>
      <c r="C358" s="41" t="s">
        <v>25</v>
      </c>
      <c r="D358" s="73" t="s">
        <v>575</v>
      </c>
      <c r="E358" s="42" t="s">
        <v>46</v>
      </c>
      <c r="F358" s="44">
        <v>1</v>
      </c>
      <c r="G358" s="45">
        <v>40.54</v>
      </c>
      <c r="H358" s="45">
        <f t="shared" si="44"/>
        <v>48.25</v>
      </c>
      <c r="I358" s="45">
        <f t="shared" si="45"/>
        <v>48.25</v>
      </c>
    </row>
    <row r="359" spans="1:9" ht="24" x14ac:dyDescent="0.25">
      <c r="A359" s="41" t="s">
        <v>576</v>
      </c>
      <c r="B359" s="82">
        <v>40729</v>
      </c>
      <c r="C359" s="82" t="s">
        <v>25</v>
      </c>
      <c r="D359" s="97" t="s">
        <v>577</v>
      </c>
      <c r="E359" s="42" t="s">
        <v>46</v>
      </c>
      <c r="F359" s="44">
        <v>11</v>
      </c>
      <c r="G359" s="45">
        <v>186.29</v>
      </c>
      <c r="H359" s="45">
        <f t="shared" si="44"/>
        <v>221.74</v>
      </c>
      <c r="I359" s="45">
        <f t="shared" si="45"/>
        <v>2439.14</v>
      </c>
    </row>
    <row r="360" spans="1:9" ht="24" x14ac:dyDescent="0.25">
      <c r="A360" s="41" t="s">
        <v>578</v>
      </c>
      <c r="B360" s="82">
        <v>86885</v>
      </c>
      <c r="C360" s="82" t="s">
        <v>25</v>
      </c>
      <c r="D360" s="97" t="s">
        <v>579</v>
      </c>
      <c r="E360" s="42" t="s">
        <v>46</v>
      </c>
      <c r="F360" s="44">
        <v>16</v>
      </c>
      <c r="G360" s="45">
        <v>11.49</v>
      </c>
      <c r="H360" s="45">
        <f t="shared" si="44"/>
        <v>13.67</v>
      </c>
      <c r="I360" s="45">
        <f t="shared" si="45"/>
        <v>218.72</v>
      </c>
    </row>
    <row r="361" spans="1:9" ht="24" x14ac:dyDescent="0.25">
      <c r="A361" s="41" t="s">
        <v>580</v>
      </c>
      <c r="B361" s="99" t="s">
        <v>581</v>
      </c>
      <c r="C361" s="99" t="s">
        <v>42</v>
      </c>
      <c r="D361" s="97" t="s">
        <v>582</v>
      </c>
      <c r="E361" s="61" t="s">
        <v>46</v>
      </c>
      <c r="F361" s="44">
        <v>11</v>
      </c>
      <c r="G361" s="45">
        <f>Composição!H207</f>
        <v>84.790400000000005</v>
      </c>
      <c r="H361" s="45">
        <f t="shared" si="44"/>
        <v>100.92</v>
      </c>
      <c r="I361" s="45">
        <f t="shared" si="45"/>
        <v>1110.1199999999999</v>
      </c>
    </row>
    <row r="362" spans="1:9" ht="24" x14ac:dyDescent="0.25">
      <c r="A362" s="41" t="s">
        <v>583</v>
      </c>
      <c r="B362" s="82">
        <v>9535</v>
      </c>
      <c r="C362" s="61" t="s">
        <v>25</v>
      </c>
      <c r="D362" s="97" t="s">
        <v>584</v>
      </c>
      <c r="E362" s="42" t="s">
        <v>46</v>
      </c>
      <c r="F362" s="44">
        <v>2</v>
      </c>
      <c r="G362" s="45">
        <v>73.5</v>
      </c>
      <c r="H362" s="45">
        <f t="shared" si="44"/>
        <v>87.48</v>
      </c>
      <c r="I362" s="45">
        <f t="shared" si="45"/>
        <v>174.96</v>
      </c>
    </row>
    <row r="363" spans="1:9" ht="24" x14ac:dyDescent="0.25">
      <c r="A363" s="41" t="s">
        <v>585</v>
      </c>
      <c r="B363" s="82">
        <v>89450</v>
      </c>
      <c r="C363" s="82" t="s">
        <v>25</v>
      </c>
      <c r="D363" s="97" t="s">
        <v>586</v>
      </c>
      <c r="E363" s="42" t="s">
        <v>60</v>
      </c>
      <c r="F363" s="44">
        <v>12</v>
      </c>
      <c r="G363" s="45">
        <v>16.8</v>
      </c>
      <c r="H363" s="45">
        <f t="shared" si="44"/>
        <v>19.989999999999998</v>
      </c>
      <c r="I363" s="45">
        <f t="shared" si="45"/>
        <v>239.88</v>
      </c>
    </row>
    <row r="364" spans="1:9" ht="24" x14ac:dyDescent="0.25">
      <c r="A364" s="41" t="s">
        <v>587</v>
      </c>
      <c r="B364" s="82">
        <v>89449</v>
      </c>
      <c r="C364" s="82" t="s">
        <v>25</v>
      </c>
      <c r="D364" s="97" t="s">
        <v>588</v>
      </c>
      <c r="E364" s="42" t="s">
        <v>60</v>
      </c>
      <c r="F364" s="44">
        <v>42</v>
      </c>
      <c r="G364" s="45">
        <v>10.3</v>
      </c>
      <c r="H364" s="45">
        <f t="shared" si="44"/>
        <v>12.26</v>
      </c>
      <c r="I364" s="45">
        <f t="shared" si="45"/>
        <v>514.91999999999996</v>
      </c>
    </row>
    <row r="365" spans="1:9" ht="24" x14ac:dyDescent="0.25">
      <c r="A365" s="41" t="s">
        <v>589</v>
      </c>
      <c r="B365" s="82">
        <v>89446</v>
      </c>
      <c r="C365" s="82" t="s">
        <v>25</v>
      </c>
      <c r="D365" s="97" t="s">
        <v>590</v>
      </c>
      <c r="E365" s="42" t="s">
        <v>60</v>
      </c>
      <c r="F365" s="44">
        <v>34</v>
      </c>
      <c r="G365" s="45">
        <v>3.04</v>
      </c>
      <c r="H365" s="45">
        <f t="shared" si="44"/>
        <v>3.61</v>
      </c>
      <c r="I365" s="45">
        <f t="shared" si="45"/>
        <v>122.74</v>
      </c>
    </row>
    <row r="366" spans="1:9" x14ac:dyDescent="0.25">
      <c r="A366" s="100"/>
      <c r="B366" s="82"/>
      <c r="C366" s="82"/>
      <c r="D366" s="101" t="s">
        <v>591</v>
      </c>
      <c r="E366" s="42"/>
      <c r="F366" s="45"/>
      <c r="G366" s="45"/>
      <c r="H366" s="45"/>
      <c r="I366" s="45"/>
    </row>
    <row r="367" spans="1:9" ht="24" x14ac:dyDescent="0.25">
      <c r="A367" s="100" t="s">
        <v>592</v>
      </c>
      <c r="B367" s="82">
        <v>89505</v>
      </c>
      <c r="C367" s="82" t="s">
        <v>25</v>
      </c>
      <c r="D367" s="97" t="s">
        <v>593</v>
      </c>
      <c r="E367" s="42" t="s">
        <v>46</v>
      </c>
      <c r="F367" s="44">
        <v>4</v>
      </c>
      <c r="G367" s="45">
        <v>22.5</v>
      </c>
      <c r="H367" s="45">
        <f t="shared" ref="H367:H397" si="46">TRUNC(G367*1.1903,2)</f>
        <v>26.78</v>
      </c>
      <c r="I367" s="45">
        <f t="shared" ref="I367:I397" si="47">TRUNC(F367*H367,2)</f>
        <v>107.12</v>
      </c>
    </row>
    <row r="368" spans="1:9" ht="24" x14ac:dyDescent="0.25">
      <c r="A368" s="100" t="s">
        <v>594</v>
      </c>
      <c r="B368" s="82">
        <v>89501</v>
      </c>
      <c r="C368" s="82" t="s">
        <v>25</v>
      </c>
      <c r="D368" s="97" t="s">
        <v>595</v>
      </c>
      <c r="E368" s="42" t="s">
        <v>46</v>
      </c>
      <c r="F368" s="44">
        <v>4</v>
      </c>
      <c r="G368" s="45">
        <v>9.4</v>
      </c>
      <c r="H368" s="45">
        <f t="shared" si="46"/>
        <v>11.18</v>
      </c>
      <c r="I368" s="45">
        <f t="shared" si="47"/>
        <v>44.72</v>
      </c>
    </row>
    <row r="369" spans="1:11" ht="24" x14ac:dyDescent="0.25">
      <c r="A369" s="100" t="s">
        <v>596</v>
      </c>
      <c r="B369" s="82">
        <v>89481</v>
      </c>
      <c r="C369" s="82" t="s">
        <v>25</v>
      </c>
      <c r="D369" s="97" t="s">
        <v>597</v>
      </c>
      <c r="E369" s="42" t="s">
        <v>46</v>
      </c>
      <c r="F369" s="44">
        <v>9</v>
      </c>
      <c r="G369" s="45">
        <v>3.38</v>
      </c>
      <c r="H369" s="45">
        <f t="shared" si="46"/>
        <v>4.0199999999999996</v>
      </c>
      <c r="I369" s="45">
        <f t="shared" si="47"/>
        <v>36.18</v>
      </c>
    </row>
    <row r="370" spans="1:11" ht="48" x14ac:dyDescent="0.25">
      <c r="A370" s="100" t="s">
        <v>598</v>
      </c>
      <c r="B370" s="82">
        <v>94672</v>
      </c>
      <c r="C370" s="82" t="s">
        <v>25</v>
      </c>
      <c r="D370" s="97" t="s">
        <v>599</v>
      </c>
      <c r="E370" s="42" t="s">
        <v>46</v>
      </c>
      <c r="F370" s="44">
        <v>21</v>
      </c>
      <c r="G370" s="45">
        <v>7.6</v>
      </c>
      <c r="H370" s="45">
        <f t="shared" si="46"/>
        <v>9.0399999999999991</v>
      </c>
      <c r="I370" s="45">
        <f t="shared" si="47"/>
        <v>189.84</v>
      </c>
    </row>
    <row r="371" spans="1:11" ht="24" x14ac:dyDescent="0.25">
      <c r="A371" s="100" t="s">
        <v>600</v>
      </c>
      <c r="B371" s="82">
        <v>89628</v>
      </c>
      <c r="C371" s="82" t="s">
        <v>25</v>
      </c>
      <c r="D371" s="97" t="s">
        <v>601</v>
      </c>
      <c r="E371" s="42" t="s">
        <v>46</v>
      </c>
      <c r="F371" s="44">
        <v>2</v>
      </c>
      <c r="G371" s="45">
        <v>28.9</v>
      </c>
      <c r="H371" s="45">
        <f t="shared" si="46"/>
        <v>34.39</v>
      </c>
      <c r="I371" s="45">
        <f t="shared" si="47"/>
        <v>68.78</v>
      </c>
    </row>
    <row r="372" spans="1:11" ht="24" x14ac:dyDescent="0.25">
      <c r="A372" s="100" t="s">
        <v>602</v>
      </c>
      <c r="B372" s="82">
        <v>94694</v>
      </c>
      <c r="C372" s="82" t="s">
        <v>25</v>
      </c>
      <c r="D372" s="97" t="s">
        <v>603</v>
      </c>
      <c r="E372" s="42" t="s">
        <v>46</v>
      </c>
      <c r="F372" s="44">
        <v>10</v>
      </c>
      <c r="G372" s="45">
        <v>17.64</v>
      </c>
      <c r="H372" s="45">
        <f t="shared" si="46"/>
        <v>20.99</v>
      </c>
      <c r="I372" s="45">
        <f t="shared" si="47"/>
        <v>209.9</v>
      </c>
      <c r="K372" s="102"/>
    </row>
    <row r="373" spans="1:11" ht="60" x14ac:dyDescent="0.25">
      <c r="A373" s="100" t="s">
        <v>604</v>
      </c>
      <c r="B373" s="82">
        <v>94695</v>
      </c>
      <c r="C373" s="82" t="s">
        <v>25</v>
      </c>
      <c r="D373" s="97" t="s">
        <v>605</v>
      </c>
      <c r="E373" s="42" t="s">
        <v>46</v>
      </c>
      <c r="F373" s="44">
        <v>12</v>
      </c>
      <c r="G373" s="45">
        <v>22.5</v>
      </c>
      <c r="H373" s="45">
        <f t="shared" si="46"/>
        <v>26.78</v>
      </c>
      <c r="I373" s="45">
        <f t="shared" si="47"/>
        <v>321.36</v>
      </c>
      <c r="K373" s="102"/>
    </row>
    <row r="374" spans="1:11" ht="36" x14ac:dyDescent="0.25">
      <c r="A374" s="100" t="s">
        <v>606</v>
      </c>
      <c r="B374" s="82">
        <v>96664</v>
      </c>
      <c r="C374" s="82" t="s">
        <v>25</v>
      </c>
      <c r="D374" s="97" t="s">
        <v>607</v>
      </c>
      <c r="E374" s="42" t="s">
        <v>46</v>
      </c>
      <c r="F374" s="44">
        <v>12</v>
      </c>
      <c r="G374" s="45">
        <v>18.37</v>
      </c>
      <c r="H374" s="45">
        <f t="shared" si="46"/>
        <v>21.86</v>
      </c>
      <c r="I374" s="45">
        <f t="shared" si="47"/>
        <v>262.32</v>
      </c>
      <c r="K374" s="102"/>
    </row>
    <row r="375" spans="1:11" ht="24" x14ac:dyDescent="0.25">
      <c r="A375" s="100" t="s">
        <v>608</v>
      </c>
      <c r="B375" s="82">
        <v>89617</v>
      </c>
      <c r="C375" s="82" t="s">
        <v>25</v>
      </c>
      <c r="D375" s="97" t="s">
        <v>609</v>
      </c>
      <c r="E375" s="42" t="s">
        <v>46</v>
      </c>
      <c r="F375" s="44">
        <v>6</v>
      </c>
      <c r="G375" s="45">
        <v>4.82</v>
      </c>
      <c r="H375" s="45">
        <f t="shared" si="46"/>
        <v>5.73</v>
      </c>
      <c r="I375" s="45">
        <f t="shared" si="47"/>
        <v>34.380000000000003</v>
      </c>
    </row>
    <row r="376" spans="1:11" ht="24" x14ac:dyDescent="0.25">
      <c r="A376" s="100" t="s">
        <v>610</v>
      </c>
      <c r="B376" s="82">
        <v>94664</v>
      </c>
      <c r="C376" s="82" t="s">
        <v>25</v>
      </c>
      <c r="D376" s="97" t="s">
        <v>611</v>
      </c>
      <c r="E376" s="42" t="s">
        <v>46</v>
      </c>
      <c r="F376" s="44">
        <v>8</v>
      </c>
      <c r="G376" s="45">
        <v>18.59</v>
      </c>
      <c r="H376" s="45">
        <f t="shared" si="46"/>
        <v>22.12</v>
      </c>
      <c r="I376" s="45">
        <f t="shared" si="47"/>
        <v>176.96</v>
      </c>
    </row>
    <row r="377" spans="1:11" ht="24" x14ac:dyDescent="0.25">
      <c r="A377" s="100" t="s">
        <v>612</v>
      </c>
      <c r="B377" s="82">
        <v>94656</v>
      </c>
      <c r="C377" s="82" t="s">
        <v>25</v>
      </c>
      <c r="D377" s="97" t="s">
        <v>613</v>
      </c>
      <c r="E377" s="42" t="s">
        <v>46</v>
      </c>
      <c r="F377" s="44">
        <v>6</v>
      </c>
      <c r="G377" s="45">
        <v>4.58</v>
      </c>
      <c r="H377" s="45">
        <f t="shared" si="46"/>
        <v>5.45</v>
      </c>
      <c r="I377" s="45">
        <f t="shared" si="47"/>
        <v>32.700000000000003</v>
      </c>
    </row>
    <row r="378" spans="1:11" ht="48" x14ac:dyDescent="0.25">
      <c r="A378" s="100" t="s">
        <v>614</v>
      </c>
      <c r="B378" s="82">
        <v>94662</v>
      </c>
      <c r="C378" s="82" t="s">
        <v>25</v>
      </c>
      <c r="D378" s="97" t="s">
        <v>615</v>
      </c>
      <c r="E378" s="42" t="s">
        <v>46</v>
      </c>
      <c r="F378" s="44">
        <v>14</v>
      </c>
      <c r="G378" s="45">
        <v>8.9</v>
      </c>
      <c r="H378" s="45">
        <f t="shared" si="46"/>
        <v>10.59</v>
      </c>
      <c r="I378" s="45">
        <f t="shared" si="47"/>
        <v>148.26</v>
      </c>
    </row>
    <row r="379" spans="1:11" ht="24" x14ac:dyDescent="0.25">
      <c r="A379" s="100" t="s">
        <v>616</v>
      </c>
      <c r="B379" s="82">
        <v>89597</v>
      </c>
      <c r="C379" s="82" t="s">
        <v>25</v>
      </c>
      <c r="D379" s="97" t="s">
        <v>617</v>
      </c>
      <c r="E379" s="42" t="s">
        <v>46</v>
      </c>
      <c r="F379" s="44">
        <v>2</v>
      </c>
      <c r="G379" s="45">
        <v>13.17</v>
      </c>
      <c r="H379" s="45">
        <f t="shared" si="46"/>
        <v>15.67</v>
      </c>
      <c r="I379" s="45">
        <f t="shared" si="47"/>
        <v>31.34</v>
      </c>
    </row>
    <row r="380" spans="1:11" ht="24" x14ac:dyDescent="0.25">
      <c r="A380" s="100" t="s">
        <v>618</v>
      </c>
      <c r="B380" s="82">
        <v>89378</v>
      </c>
      <c r="C380" s="82" t="s">
        <v>25</v>
      </c>
      <c r="D380" s="97" t="s">
        <v>619</v>
      </c>
      <c r="E380" s="42" t="s">
        <v>46</v>
      </c>
      <c r="F380" s="44">
        <v>3</v>
      </c>
      <c r="G380" s="45">
        <v>4.97</v>
      </c>
      <c r="H380" s="45">
        <f t="shared" si="46"/>
        <v>5.91</v>
      </c>
      <c r="I380" s="45">
        <f t="shared" si="47"/>
        <v>17.73</v>
      </c>
    </row>
    <row r="381" spans="1:11" ht="24" x14ac:dyDescent="0.25">
      <c r="A381" s="100" t="s">
        <v>620</v>
      </c>
      <c r="B381" s="82">
        <v>89980</v>
      </c>
      <c r="C381" s="82" t="s">
        <v>25</v>
      </c>
      <c r="D381" s="97" t="s">
        <v>621</v>
      </c>
      <c r="E381" s="42" t="s">
        <v>46</v>
      </c>
      <c r="F381" s="44">
        <v>2</v>
      </c>
      <c r="G381" s="45">
        <v>6.4</v>
      </c>
      <c r="H381" s="45">
        <f t="shared" si="46"/>
        <v>7.61</v>
      </c>
      <c r="I381" s="45">
        <f t="shared" si="47"/>
        <v>15.22</v>
      </c>
    </row>
    <row r="382" spans="1:11" ht="24" x14ac:dyDescent="0.25">
      <c r="A382" s="100" t="s">
        <v>622</v>
      </c>
      <c r="B382" s="82">
        <v>89605</v>
      </c>
      <c r="C382" s="82" t="s">
        <v>25</v>
      </c>
      <c r="D382" s="97" t="s">
        <v>623</v>
      </c>
      <c r="E382" s="42" t="s">
        <v>46</v>
      </c>
      <c r="F382" s="44">
        <v>2</v>
      </c>
      <c r="G382" s="45">
        <v>12.88</v>
      </c>
      <c r="H382" s="45">
        <f t="shared" si="46"/>
        <v>15.33</v>
      </c>
      <c r="I382" s="45">
        <f t="shared" si="47"/>
        <v>30.66</v>
      </c>
    </row>
    <row r="383" spans="1:11" ht="36" x14ac:dyDescent="0.25">
      <c r="A383" s="100" t="s">
        <v>624</v>
      </c>
      <c r="B383" s="82">
        <v>90375</v>
      </c>
      <c r="C383" s="82" t="s">
        <v>25</v>
      </c>
      <c r="D383" s="97" t="s">
        <v>625</v>
      </c>
      <c r="E383" s="42" t="s">
        <v>46</v>
      </c>
      <c r="F383" s="44">
        <v>6</v>
      </c>
      <c r="G383" s="45">
        <v>6.64</v>
      </c>
      <c r="H383" s="45">
        <f t="shared" si="46"/>
        <v>7.9</v>
      </c>
      <c r="I383" s="45">
        <f t="shared" si="47"/>
        <v>47.4</v>
      </c>
    </row>
    <row r="384" spans="1:11" ht="36" x14ac:dyDescent="0.25">
      <c r="A384" s="100" t="s">
        <v>626</v>
      </c>
      <c r="B384" s="82">
        <v>89426</v>
      </c>
      <c r="C384" s="82" t="s">
        <v>25</v>
      </c>
      <c r="D384" s="97" t="s">
        <v>627</v>
      </c>
      <c r="E384" s="42" t="s">
        <v>46</v>
      </c>
      <c r="F384" s="44">
        <v>8</v>
      </c>
      <c r="G384" s="45">
        <v>5.26</v>
      </c>
      <c r="H384" s="45">
        <f t="shared" si="46"/>
        <v>6.26</v>
      </c>
      <c r="I384" s="45">
        <f t="shared" si="47"/>
        <v>50.08</v>
      </c>
    </row>
    <row r="385" spans="1:9" x14ac:dyDescent="0.25">
      <c r="A385" s="100" t="s">
        <v>628</v>
      </c>
      <c r="B385" s="99" t="s">
        <v>629</v>
      </c>
      <c r="C385" s="82" t="s">
        <v>211</v>
      </c>
      <c r="D385" s="97" t="s">
        <v>630</v>
      </c>
      <c r="E385" s="42" t="s">
        <v>46</v>
      </c>
      <c r="F385" s="44">
        <v>6</v>
      </c>
      <c r="G385" s="45">
        <f>Composição!H214</f>
        <v>3.8038400000000001</v>
      </c>
      <c r="H385" s="45">
        <f t="shared" si="46"/>
        <v>4.5199999999999996</v>
      </c>
      <c r="I385" s="45">
        <f t="shared" si="47"/>
        <v>27.12</v>
      </c>
    </row>
    <row r="386" spans="1:9" ht="24" x14ac:dyDescent="0.25">
      <c r="A386" s="100" t="s">
        <v>631</v>
      </c>
      <c r="B386" s="99" t="s">
        <v>632</v>
      </c>
      <c r="C386" s="82" t="s">
        <v>211</v>
      </c>
      <c r="D386" s="97" t="s">
        <v>633</v>
      </c>
      <c r="E386" s="42" t="s">
        <v>46</v>
      </c>
      <c r="F386" s="44">
        <v>4</v>
      </c>
      <c r="G386" s="45">
        <f>Composição!H230</f>
        <v>147.83000000000001</v>
      </c>
      <c r="H386" s="45">
        <f t="shared" si="46"/>
        <v>175.96</v>
      </c>
      <c r="I386" s="45">
        <f t="shared" si="47"/>
        <v>703.84</v>
      </c>
    </row>
    <row r="387" spans="1:9" ht="24" x14ac:dyDescent="0.25">
      <c r="A387" s="100" t="s">
        <v>634</v>
      </c>
      <c r="B387" s="99" t="s">
        <v>635</v>
      </c>
      <c r="C387" s="82" t="s">
        <v>211</v>
      </c>
      <c r="D387" s="97" t="s">
        <v>636</v>
      </c>
      <c r="E387" s="42" t="s">
        <v>46</v>
      </c>
      <c r="F387" s="44">
        <v>2</v>
      </c>
      <c r="G387" s="45">
        <f>Composição!H223</f>
        <v>147.83000000000001</v>
      </c>
      <c r="H387" s="45">
        <f t="shared" si="46"/>
        <v>175.96</v>
      </c>
      <c r="I387" s="45">
        <f t="shared" si="47"/>
        <v>351.92</v>
      </c>
    </row>
    <row r="388" spans="1:9" ht="24" x14ac:dyDescent="0.25">
      <c r="A388" s="100" t="s">
        <v>637</v>
      </c>
      <c r="B388" s="99" t="s">
        <v>638</v>
      </c>
      <c r="C388" s="82" t="s">
        <v>211</v>
      </c>
      <c r="D388" s="97" t="s">
        <v>639</v>
      </c>
      <c r="E388" s="42" t="s">
        <v>46</v>
      </c>
      <c r="F388" s="44">
        <v>4</v>
      </c>
      <c r="G388" s="45">
        <f>Composição!H237</f>
        <v>133.88</v>
      </c>
      <c r="H388" s="45">
        <f t="shared" si="46"/>
        <v>159.35</v>
      </c>
      <c r="I388" s="45">
        <f t="shared" si="47"/>
        <v>637.4</v>
      </c>
    </row>
    <row r="389" spans="1:9" ht="36" x14ac:dyDescent="0.25">
      <c r="A389" s="100" t="s">
        <v>640</v>
      </c>
      <c r="B389" s="82">
        <v>95470</v>
      </c>
      <c r="C389" s="82" t="s">
        <v>25</v>
      </c>
      <c r="D389" s="97" t="s">
        <v>641</v>
      </c>
      <c r="E389" s="42" t="s">
        <v>46</v>
      </c>
      <c r="F389" s="44">
        <v>5</v>
      </c>
      <c r="G389" s="45">
        <v>163.86</v>
      </c>
      <c r="H389" s="45">
        <f t="shared" si="46"/>
        <v>195.04</v>
      </c>
      <c r="I389" s="45">
        <f t="shared" si="47"/>
        <v>975.2</v>
      </c>
    </row>
    <row r="390" spans="1:9" ht="24" x14ac:dyDescent="0.25">
      <c r="A390" s="100" t="s">
        <v>642</v>
      </c>
      <c r="B390" s="99" t="s">
        <v>643</v>
      </c>
      <c r="C390" s="82" t="s">
        <v>211</v>
      </c>
      <c r="D390" s="97" t="s">
        <v>644</v>
      </c>
      <c r="E390" s="42" t="s">
        <v>46</v>
      </c>
      <c r="F390" s="44">
        <v>4</v>
      </c>
      <c r="G390" s="45">
        <f>Composição!H174</f>
        <v>60.205236999999997</v>
      </c>
      <c r="H390" s="45">
        <f t="shared" si="46"/>
        <v>71.66</v>
      </c>
      <c r="I390" s="45">
        <f t="shared" si="47"/>
        <v>286.64</v>
      </c>
    </row>
    <row r="391" spans="1:9" ht="24" x14ac:dyDescent="0.25">
      <c r="A391" s="100" t="s">
        <v>645</v>
      </c>
      <c r="B391" s="82">
        <v>86902</v>
      </c>
      <c r="C391" s="82" t="s">
        <v>25</v>
      </c>
      <c r="D391" s="97" t="s">
        <v>646</v>
      </c>
      <c r="E391" s="42" t="s">
        <v>46</v>
      </c>
      <c r="F391" s="44">
        <v>3</v>
      </c>
      <c r="G391" s="45">
        <v>193.51</v>
      </c>
      <c r="H391" s="45">
        <f t="shared" si="46"/>
        <v>230.33</v>
      </c>
      <c r="I391" s="45">
        <f t="shared" si="47"/>
        <v>690.99</v>
      </c>
    </row>
    <row r="392" spans="1:9" ht="24" x14ac:dyDescent="0.25">
      <c r="A392" s="100" t="s">
        <v>647</v>
      </c>
      <c r="B392" s="99" t="s">
        <v>648</v>
      </c>
      <c r="C392" s="82" t="s">
        <v>211</v>
      </c>
      <c r="D392" s="97" t="s">
        <v>649</v>
      </c>
      <c r="E392" s="42" t="s">
        <v>46</v>
      </c>
      <c r="F392" s="44">
        <v>4</v>
      </c>
      <c r="G392" s="45">
        <f>Composição!H182</f>
        <v>109.961939</v>
      </c>
      <c r="H392" s="45">
        <f t="shared" si="46"/>
        <v>130.88</v>
      </c>
      <c r="I392" s="45">
        <f t="shared" si="47"/>
        <v>523.52</v>
      </c>
    </row>
    <row r="393" spans="1:9" ht="24" x14ac:dyDescent="0.25">
      <c r="A393" s="100" t="s">
        <v>650</v>
      </c>
      <c r="B393" s="82">
        <v>95544</v>
      </c>
      <c r="C393" s="82" t="s">
        <v>25</v>
      </c>
      <c r="D393" s="97" t="s">
        <v>651</v>
      </c>
      <c r="E393" s="42" t="s">
        <v>46</v>
      </c>
      <c r="F393" s="44">
        <v>11</v>
      </c>
      <c r="G393" s="45">
        <v>47.74</v>
      </c>
      <c r="H393" s="45">
        <f t="shared" si="46"/>
        <v>56.82</v>
      </c>
      <c r="I393" s="45">
        <f t="shared" si="47"/>
        <v>625.02</v>
      </c>
    </row>
    <row r="394" spans="1:9" ht="24" x14ac:dyDescent="0.25">
      <c r="A394" s="100" t="s">
        <v>652</v>
      </c>
      <c r="B394" s="99" t="s">
        <v>653</v>
      </c>
      <c r="C394" s="82" t="s">
        <v>211</v>
      </c>
      <c r="D394" s="97" t="s">
        <v>654</v>
      </c>
      <c r="E394" s="61" t="s">
        <v>46</v>
      </c>
      <c r="F394" s="44">
        <v>16</v>
      </c>
      <c r="G394" s="45">
        <f>Composição!H243</f>
        <v>41.5</v>
      </c>
      <c r="H394" s="45">
        <f t="shared" si="46"/>
        <v>49.39</v>
      </c>
      <c r="I394" s="45">
        <f t="shared" si="47"/>
        <v>790.24</v>
      </c>
    </row>
    <row r="395" spans="1:9" ht="24" x14ac:dyDescent="0.25">
      <c r="A395" s="100" t="s">
        <v>655</v>
      </c>
      <c r="B395" s="82">
        <v>95547</v>
      </c>
      <c r="C395" s="42" t="s">
        <v>25</v>
      </c>
      <c r="D395" s="97" t="s">
        <v>656</v>
      </c>
      <c r="E395" s="61" t="s">
        <v>46</v>
      </c>
      <c r="F395" s="44">
        <v>8</v>
      </c>
      <c r="G395" s="45">
        <v>42.86</v>
      </c>
      <c r="H395" s="45">
        <f t="shared" si="46"/>
        <v>51.01</v>
      </c>
      <c r="I395" s="45">
        <f t="shared" si="47"/>
        <v>408.08</v>
      </c>
    </row>
    <row r="396" spans="1:9" x14ac:dyDescent="0.25">
      <c r="A396" s="100" t="s">
        <v>657</v>
      </c>
      <c r="B396" s="61">
        <v>93358</v>
      </c>
      <c r="C396" s="42" t="s">
        <v>25</v>
      </c>
      <c r="D396" s="43" t="s">
        <v>658</v>
      </c>
      <c r="E396" s="61" t="s">
        <v>37</v>
      </c>
      <c r="F396" s="44">
        <v>6.59</v>
      </c>
      <c r="G396" s="45">
        <v>64.989999999999995</v>
      </c>
      <c r="H396" s="45">
        <f t="shared" si="46"/>
        <v>77.349999999999994</v>
      </c>
      <c r="I396" s="45">
        <f t="shared" si="47"/>
        <v>509.73</v>
      </c>
    </row>
    <row r="397" spans="1:9" x14ac:dyDescent="0.25">
      <c r="A397" s="100" t="s">
        <v>659</v>
      </c>
      <c r="B397" s="41">
        <v>93382</v>
      </c>
      <c r="C397" s="42" t="s">
        <v>25</v>
      </c>
      <c r="D397" s="103" t="s">
        <v>660</v>
      </c>
      <c r="E397" s="61" t="s">
        <v>37</v>
      </c>
      <c r="F397" s="44">
        <v>6.59</v>
      </c>
      <c r="G397" s="45">
        <v>21.62</v>
      </c>
      <c r="H397" s="45">
        <f t="shared" si="46"/>
        <v>25.73</v>
      </c>
      <c r="I397" s="45">
        <f t="shared" si="47"/>
        <v>169.56</v>
      </c>
    </row>
    <row r="398" spans="1:9" x14ac:dyDescent="0.25">
      <c r="A398" s="46"/>
      <c r="B398" s="47"/>
      <c r="C398" s="48"/>
      <c r="D398" s="49" t="s">
        <v>661</v>
      </c>
      <c r="E398" s="50" t="s">
        <v>31</v>
      </c>
      <c r="F398" s="67"/>
      <c r="G398" s="67"/>
      <c r="H398" s="67"/>
      <c r="I398" s="104">
        <f>SUM(I355:I397)</f>
        <v>15861.799999999997</v>
      </c>
    </row>
    <row r="399" spans="1:9" x14ac:dyDescent="0.25">
      <c r="A399" s="54" t="s">
        <v>662</v>
      </c>
      <c r="B399" s="55"/>
      <c r="C399" s="83"/>
      <c r="D399" s="39" t="s">
        <v>663</v>
      </c>
      <c r="E399" s="83"/>
      <c r="F399" s="79"/>
      <c r="G399" s="57"/>
      <c r="H399" s="57"/>
      <c r="I399" s="57"/>
    </row>
    <row r="400" spans="1:9" ht="24" x14ac:dyDescent="0.25">
      <c r="A400" s="45" t="s">
        <v>664</v>
      </c>
      <c r="B400" s="82">
        <v>97661</v>
      </c>
      <c r="C400" s="82" t="s">
        <v>25</v>
      </c>
      <c r="D400" s="97" t="s">
        <v>665</v>
      </c>
      <c r="E400" s="105" t="s">
        <v>60</v>
      </c>
      <c r="F400" s="106">
        <v>600</v>
      </c>
      <c r="G400" s="107">
        <v>0.5</v>
      </c>
      <c r="H400" s="45">
        <f>TRUNC(G400*1.1903,2)</f>
        <v>0.59</v>
      </c>
      <c r="I400" s="45">
        <f>TRUNC(F400*H400,2)</f>
        <v>354</v>
      </c>
    </row>
    <row r="401" spans="1:9" x14ac:dyDescent="0.25">
      <c r="A401" s="45"/>
      <c r="B401" s="82"/>
      <c r="C401" s="82"/>
      <c r="D401" s="101" t="s">
        <v>666</v>
      </c>
      <c r="E401" s="105"/>
      <c r="F401" s="106"/>
      <c r="G401" s="107"/>
      <c r="H401" s="108"/>
      <c r="I401" s="45"/>
    </row>
    <row r="402" spans="1:9" ht="36" x14ac:dyDescent="0.25">
      <c r="A402" s="45" t="s">
        <v>667</v>
      </c>
      <c r="B402" s="61" t="s">
        <v>668</v>
      </c>
      <c r="C402" s="82" t="s">
        <v>42</v>
      </c>
      <c r="D402" s="97" t="s">
        <v>669</v>
      </c>
      <c r="E402" s="105" t="s">
        <v>46</v>
      </c>
      <c r="F402" s="106">
        <v>5</v>
      </c>
      <c r="G402" s="107">
        <f>Composição!H258</f>
        <v>386.10500000000002</v>
      </c>
      <c r="H402" s="45">
        <f>TRUNC(G402*1.1903,2)</f>
        <v>459.58</v>
      </c>
      <c r="I402" s="45">
        <f>TRUNC(F402*H402,2)</f>
        <v>2297.9</v>
      </c>
    </row>
    <row r="403" spans="1:9" ht="36" x14ac:dyDescent="0.25">
      <c r="A403" s="45" t="s">
        <v>670</v>
      </c>
      <c r="B403" s="61" t="s">
        <v>671</v>
      </c>
      <c r="C403" s="82" t="s">
        <v>42</v>
      </c>
      <c r="D403" s="97" t="s">
        <v>672</v>
      </c>
      <c r="E403" s="105" t="s">
        <v>46</v>
      </c>
      <c r="F403" s="106">
        <v>6</v>
      </c>
      <c r="G403" s="107">
        <f>Composição!H265</f>
        <v>486.08</v>
      </c>
      <c r="H403" s="45">
        <f>TRUNC(G403*1.1903,2)</f>
        <v>578.58000000000004</v>
      </c>
      <c r="I403" s="45">
        <f>TRUNC(F403*H403,2)</f>
        <v>3471.48</v>
      </c>
    </row>
    <row r="404" spans="1:9" ht="36" x14ac:dyDescent="0.25">
      <c r="A404" s="45" t="s">
        <v>673</v>
      </c>
      <c r="B404" s="61" t="s">
        <v>674</v>
      </c>
      <c r="C404" s="82" t="s">
        <v>42</v>
      </c>
      <c r="D404" s="97" t="s">
        <v>675</v>
      </c>
      <c r="E404" s="105" t="s">
        <v>46</v>
      </c>
      <c r="F404" s="106">
        <v>5</v>
      </c>
      <c r="G404" s="107">
        <f>Composição!H271</f>
        <v>840.04500000000007</v>
      </c>
      <c r="H404" s="45">
        <f>TRUNC(G404*1.1903,2)</f>
        <v>999.9</v>
      </c>
      <c r="I404" s="45">
        <f>TRUNC(F404*H404,2)</f>
        <v>4999.5</v>
      </c>
    </row>
    <row r="405" spans="1:9" x14ac:dyDescent="0.25">
      <c r="A405" s="45"/>
      <c r="B405" s="82"/>
      <c r="C405" s="82"/>
      <c r="D405" s="101" t="s">
        <v>676</v>
      </c>
      <c r="E405" s="105"/>
      <c r="F405" s="106"/>
      <c r="G405" s="107"/>
      <c r="H405" s="45"/>
      <c r="I405" s="45"/>
    </row>
    <row r="406" spans="1:9" ht="24" x14ac:dyDescent="0.25">
      <c r="A406" s="45" t="s">
        <v>677</v>
      </c>
      <c r="B406" s="82">
        <v>93653</v>
      </c>
      <c r="C406" s="82" t="s">
        <v>25</v>
      </c>
      <c r="D406" s="97" t="s">
        <v>678</v>
      </c>
      <c r="E406" s="105" t="s">
        <v>46</v>
      </c>
      <c r="F406" s="106">
        <v>41</v>
      </c>
      <c r="G406" s="107">
        <v>9.1199999999999992</v>
      </c>
      <c r="H406" s="45">
        <f t="shared" ref="H406:H428" si="48">TRUNC(G406*1.1903,2)</f>
        <v>10.85</v>
      </c>
      <c r="I406" s="45">
        <f t="shared" ref="I406:I428" si="49">TRUNC(F406*H406,2)</f>
        <v>444.85</v>
      </c>
    </row>
    <row r="407" spans="1:9" ht="24" x14ac:dyDescent="0.25">
      <c r="A407" s="45" t="s">
        <v>679</v>
      </c>
      <c r="B407" s="82">
        <v>93654</v>
      </c>
      <c r="C407" s="82" t="s">
        <v>25</v>
      </c>
      <c r="D407" s="97" t="s">
        <v>680</v>
      </c>
      <c r="E407" s="105" t="s">
        <v>46</v>
      </c>
      <c r="F407" s="106">
        <v>6</v>
      </c>
      <c r="G407" s="107">
        <v>9.61</v>
      </c>
      <c r="H407" s="45">
        <f t="shared" si="48"/>
        <v>11.43</v>
      </c>
      <c r="I407" s="45">
        <f t="shared" si="49"/>
        <v>68.58</v>
      </c>
    </row>
    <row r="408" spans="1:9" ht="24" x14ac:dyDescent="0.25">
      <c r="A408" s="45" t="s">
        <v>681</v>
      </c>
      <c r="B408" s="82">
        <v>93655</v>
      </c>
      <c r="C408" s="82" t="s">
        <v>25</v>
      </c>
      <c r="D408" s="97" t="s">
        <v>682</v>
      </c>
      <c r="E408" s="105" t="s">
        <v>46</v>
      </c>
      <c r="F408" s="106">
        <v>18</v>
      </c>
      <c r="G408" s="107">
        <v>10.42</v>
      </c>
      <c r="H408" s="45">
        <f t="shared" si="48"/>
        <v>12.4</v>
      </c>
      <c r="I408" s="45">
        <f t="shared" si="49"/>
        <v>223.2</v>
      </c>
    </row>
    <row r="409" spans="1:9" ht="24" x14ac:dyDescent="0.25">
      <c r="A409" s="45" t="s">
        <v>683</v>
      </c>
      <c r="B409" s="82">
        <v>93656</v>
      </c>
      <c r="C409" s="82" t="s">
        <v>25</v>
      </c>
      <c r="D409" s="97" t="s">
        <v>684</v>
      </c>
      <c r="E409" s="105" t="s">
        <v>46</v>
      </c>
      <c r="F409" s="106">
        <v>9</v>
      </c>
      <c r="G409" s="107">
        <v>10.42</v>
      </c>
      <c r="H409" s="45">
        <f t="shared" si="48"/>
        <v>12.4</v>
      </c>
      <c r="I409" s="45">
        <f t="shared" si="49"/>
        <v>111.6</v>
      </c>
    </row>
    <row r="410" spans="1:9" ht="24" x14ac:dyDescent="0.25">
      <c r="A410" s="45" t="s">
        <v>685</v>
      </c>
      <c r="B410" s="82">
        <v>93657</v>
      </c>
      <c r="C410" s="82" t="s">
        <v>25</v>
      </c>
      <c r="D410" s="97" t="s">
        <v>686</v>
      </c>
      <c r="E410" s="105" t="s">
        <v>687</v>
      </c>
      <c r="F410" s="106">
        <v>8</v>
      </c>
      <c r="G410" s="107">
        <v>11.49</v>
      </c>
      <c r="H410" s="45">
        <f t="shared" si="48"/>
        <v>13.67</v>
      </c>
      <c r="I410" s="45">
        <f t="shared" si="49"/>
        <v>109.36</v>
      </c>
    </row>
    <row r="411" spans="1:9" ht="24" x14ac:dyDescent="0.25">
      <c r="A411" s="45" t="s">
        <v>688</v>
      </c>
      <c r="B411" s="82">
        <v>93660</v>
      </c>
      <c r="C411" s="82" t="s">
        <v>25</v>
      </c>
      <c r="D411" s="97" t="s">
        <v>689</v>
      </c>
      <c r="E411" s="105" t="s">
        <v>46</v>
      </c>
      <c r="F411" s="106">
        <v>11</v>
      </c>
      <c r="G411" s="107">
        <v>45.52</v>
      </c>
      <c r="H411" s="45">
        <f t="shared" si="48"/>
        <v>54.18</v>
      </c>
      <c r="I411" s="45">
        <f t="shared" si="49"/>
        <v>595.98</v>
      </c>
    </row>
    <row r="412" spans="1:9" ht="24" x14ac:dyDescent="0.25">
      <c r="A412" s="45" t="s">
        <v>690</v>
      </c>
      <c r="B412" s="82">
        <v>93663</v>
      </c>
      <c r="C412" s="82" t="s">
        <v>25</v>
      </c>
      <c r="D412" s="97" t="s">
        <v>691</v>
      </c>
      <c r="E412" s="105" t="s">
        <v>46</v>
      </c>
      <c r="F412" s="106">
        <v>2</v>
      </c>
      <c r="G412" s="107">
        <v>48.16</v>
      </c>
      <c r="H412" s="45">
        <f t="shared" si="48"/>
        <v>57.32</v>
      </c>
      <c r="I412" s="45">
        <f t="shared" si="49"/>
        <v>114.64</v>
      </c>
    </row>
    <row r="413" spans="1:9" ht="24" x14ac:dyDescent="0.25">
      <c r="A413" s="45" t="s">
        <v>692</v>
      </c>
      <c r="B413" s="82">
        <v>93664</v>
      </c>
      <c r="C413" s="82" t="s">
        <v>25</v>
      </c>
      <c r="D413" s="97" t="s">
        <v>693</v>
      </c>
      <c r="E413" s="105" t="s">
        <v>46</v>
      </c>
      <c r="F413" s="106">
        <v>3</v>
      </c>
      <c r="G413" s="107">
        <v>50.26</v>
      </c>
      <c r="H413" s="45">
        <f t="shared" si="48"/>
        <v>59.82</v>
      </c>
      <c r="I413" s="45">
        <f t="shared" si="49"/>
        <v>179.46</v>
      </c>
    </row>
    <row r="414" spans="1:9" ht="24" x14ac:dyDescent="0.25">
      <c r="A414" s="45" t="s">
        <v>694</v>
      </c>
      <c r="B414" s="82">
        <v>93665</v>
      </c>
      <c r="C414" s="82" t="s">
        <v>25</v>
      </c>
      <c r="D414" s="97" t="s">
        <v>695</v>
      </c>
      <c r="E414" s="105" t="s">
        <v>46</v>
      </c>
      <c r="F414" s="106">
        <v>2</v>
      </c>
      <c r="G414" s="107">
        <v>53.04</v>
      </c>
      <c r="H414" s="45">
        <f t="shared" si="48"/>
        <v>63.13</v>
      </c>
      <c r="I414" s="45">
        <f t="shared" si="49"/>
        <v>126.26</v>
      </c>
    </row>
    <row r="415" spans="1:9" ht="24" x14ac:dyDescent="0.25">
      <c r="A415" s="45" t="s">
        <v>696</v>
      </c>
      <c r="B415" s="82">
        <v>93673</v>
      </c>
      <c r="C415" s="82" t="s">
        <v>25</v>
      </c>
      <c r="D415" s="97" t="s">
        <v>697</v>
      </c>
      <c r="E415" s="105" t="s">
        <v>46</v>
      </c>
      <c r="F415" s="106">
        <v>4</v>
      </c>
      <c r="G415" s="107">
        <v>75.58</v>
      </c>
      <c r="H415" s="45">
        <f t="shared" si="48"/>
        <v>89.96</v>
      </c>
      <c r="I415" s="45">
        <f t="shared" si="49"/>
        <v>359.84</v>
      </c>
    </row>
    <row r="416" spans="1:9" ht="24" x14ac:dyDescent="0.25">
      <c r="A416" s="45" t="s">
        <v>698</v>
      </c>
      <c r="B416" s="61" t="s">
        <v>699</v>
      </c>
      <c r="C416" s="82" t="s">
        <v>42</v>
      </c>
      <c r="D416" s="97" t="s">
        <v>700</v>
      </c>
      <c r="E416" s="105" t="s">
        <v>46</v>
      </c>
      <c r="F416" s="106">
        <v>2</v>
      </c>
      <c r="G416" s="107">
        <f>Composição!H278</f>
        <v>76.05</v>
      </c>
      <c r="H416" s="45">
        <f t="shared" si="48"/>
        <v>90.52</v>
      </c>
      <c r="I416" s="45">
        <f t="shared" si="49"/>
        <v>181.04</v>
      </c>
    </row>
    <row r="417" spans="1:9" ht="24" x14ac:dyDescent="0.25">
      <c r="A417" s="45" t="s">
        <v>701</v>
      </c>
      <c r="B417" s="61" t="s">
        <v>702</v>
      </c>
      <c r="C417" s="82" t="s">
        <v>42</v>
      </c>
      <c r="D417" s="97" t="s">
        <v>703</v>
      </c>
      <c r="E417" s="105" t="s">
        <v>46</v>
      </c>
      <c r="F417" s="106">
        <v>4</v>
      </c>
      <c r="G417" s="107">
        <f>Composição!H285</f>
        <v>69.646999999999991</v>
      </c>
      <c r="H417" s="45">
        <f t="shared" si="48"/>
        <v>82.9</v>
      </c>
      <c r="I417" s="45">
        <f t="shared" si="49"/>
        <v>331.6</v>
      </c>
    </row>
    <row r="418" spans="1:9" ht="24" x14ac:dyDescent="0.25">
      <c r="A418" s="45" t="s">
        <v>704</v>
      </c>
      <c r="B418" s="61" t="s">
        <v>705</v>
      </c>
      <c r="C418" s="82" t="s">
        <v>42</v>
      </c>
      <c r="D418" s="97" t="s">
        <v>706</v>
      </c>
      <c r="E418" s="105" t="s">
        <v>46</v>
      </c>
      <c r="F418" s="106">
        <v>4</v>
      </c>
      <c r="G418" s="107">
        <f>Composição!H296</f>
        <v>76.646999999999991</v>
      </c>
      <c r="H418" s="45">
        <f t="shared" si="48"/>
        <v>91.23</v>
      </c>
      <c r="I418" s="45">
        <f t="shared" si="49"/>
        <v>364.92</v>
      </c>
    </row>
    <row r="419" spans="1:9" ht="24" x14ac:dyDescent="0.25">
      <c r="A419" s="45" t="s">
        <v>707</v>
      </c>
      <c r="B419" s="82">
        <v>93673</v>
      </c>
      <c r="C419" s="82" t="s">
        <v>25</v>
      </c>
      <c r="D419" s="97" t="s">
        <v>708</v>
      </c>
      <c r="E419" s="105" t="s">
        <v>46</v>
      </c>
      <c r="F419" s="106">
        <v>4</v>
      </c>
      <c r="G419" s="107">
        <v>75.58</v>
      </c>
      <c r="H419" s="45">
        <f t="shared" si="48"/>
        <v>89.96</v>
      </c>
      <c r="I419" s="45">
        <f t="shared" si="49"/>
        <v>359.84</v>
      </c>
    </row>
    <row r="420" spans="1:9" ht="24" x14ac:dyDescent="0.25">
      <c r="A420" s="45" t="s">
        <v>709</v>
      </c>
      <c r="B420" s="61" t="s">
        <v>710</v>
      </c>
      <c r="C420" s="82" t="s">
        <v>42</v>
      </c>
      <c r="D420" s="97" t="s">
        <v>711</v>
      </c>
      <c r="E420" s="105" t="s">
        <v>46</v>
      </c>
      <c r="F420" s="106">
        <v>8</v>
      </c>
      <c r="G420" s="107">
        <f>Composição!H303</f>
        <v>85.266000000000005</v>
      </c>
      <c r="H420" s="45">
        <f t="shared" si="48"/>
        <v>101.49</v>
      </c>
      <c r="I420" s="45">
        <f t="shared" si="49"/>
        <v>811.92</v>
      </c>
    </row>
    <row r="421" spans="1:9" ht="24" x14ac:dyDescent="0.25">
      <c r="A421" s="45" t="s">
        <v>712</v>
      </c>
      <c r="B421" s="61" t="s">
        <v>713</v>
      </c>
      <c r="C421" s="82" t="s">
        <v>42</v>
      </c>
      <c r="D421" s="97" t="s">
        <v>714</v>
      </c>
      <c r="E421" s="105" t="s">
        <v>46</v>
      </c>
      <c r="F421" s="106">
        <v>2</v>
      </c>
      <c r="G421" s="107">
        <f>Composição!H310</f>
        <v>343.47480000000002</v>
      </c>
      <c r="H421" s="45">
        <f t="shared" si="48"/>
        <v>408.83</v>
      </c>
      <c r="I421" s="45">
        <f t="shared" si="49"/>
        <v>817.66</v>
      </c>
    </row>
    <row r="422" spans="1:9" ht="24" x14ac:dyDescent="0.25">
      <c r="A422" s="45" t="s">
        <v>715</v>
      </c>
      <c r="B422" s="61" t="s">
        <v>716</v>
      </c>
      <c r="C422" s="82" t="s">
        <v>42</v>
      </c>
      <c r="D422" s="97" t="s">
        <v>717</v>
      </c>
      <c r="E422" s="105" t="s">
        <v>46</v>
      </c>
      <c r="F422" s="106">
        <v>2</v>
      </c>
      <c r="G422" s="107">
        <f>Composição!H317</f>
        <v>305.3048</v>
      </c>
      <c r="H422" s="45">
        <f t="shared" si="48"/>
        <v>363.4</v>
      </c>
      <c r="I422" s="45">
        <f t="shared" si="49"/>
        <v>726.8</v>
      </c>
    </row>
    <row r="423" spans="1:9" ht="24" x14ac:dyDescent="0.25">
      <c r="A423" s="45" t="s">
        <v>718</v>
      </c>
      <c r="B423" s="61" t="s">
        <v>719</v>
      </c>
      <c r="C423" s="82" t="s">
        <v>42</v>
      </c>
      <c r="D423" s="97" t="s">
        <v>720</v>
      </c>
      <c r="E423" s="105" t="s">
        <v>46</v>
      </c>
      <c r="F423" s="106">
        <v>2</v>
      </c>
      <c r="G423" s="107">
        <f>Composição!H324</f>
        <v>475.06479999999999</v>
      </c>
      <c r="H423" s="45">
        <f t="shared" si="48"/>
        <v>565.46</v>
      </c>
      <c r="I423" s="45">
        <f t="shared" si="49"/>
        <v>1130.92</v>
      </c>
    </row>
    <row r="424" spans="1:9" ht="24" x14ac:dyDescent="0.25">
      <c r="A424" s="45" t="s">
        <v>721</v>
      </c>
      <c r="B424" s="82" t="s">
        <v>722</v>
      </c>
      <c r="C424" s="82" t="s">
        <v>25</v>
      </c>
      <c r="D424" s="97" t="s">
        <v>723</v>
      </c>
      <c r="E424" s="105" t="s">
        <v>46</v>
      </c>
      <c r="F424" s="106">
        <v>2</v>
      </c>
      <c r="G424" s="107">
        <v>760.95</v>
      </c>
      <c r="H424" s="45">
        <f t="shared" si="48"/>
        <v>905.75</v>
      </c>
      <c r="I424" s="45">
        <f t="shared" si="49"/>
        <v>1811.5</v>
      </c>
    </row>
    <row r="425" spans="1:9" ht="24" x14ac:dyDescent="0.25">
      <c r="A425" s="45" t="s">
        <v>724</v>
      </c>
      <c r="B425" s="61" t="s">
        <v>725</v>
      </c>
      <c r="C425" s="82" t="s">
        <v>42</v>
      </c>
      <c r="D425" s="97" t="s">
        <v>726</v>
      </c>
      <c r="E425" s="105" t="s">
        <v>46</v>
      </c>
      <c r="F425" s="106">
        <v>2</v>
      </c>
      <c r="G425" s="107">
        <f>Composição!H330</f>
        <v>135.57264999999998</v>
      </c>
      <c r="H425" s="45">
        <f t="shared" si="48"/>
        <v>161.37</v>
      </c>
      <c r="I425" s="45">
        <f t="shared" si="49"/>
        <v>322.74</v>
      </c>
    </row>
    <row r="426" spans="1:9" ht="24" x14ac:dyDescent="0.25">
      <c r="A426" s="45" t="s">
        <v>727</v>
      </c>
      <c r="B426" s="61" t="s">
        <v>728</v>
      </c>
      <c r="C426" s="82" t="s">
        <v>42</v>
      </c>
      <c r="D426" s="97" t="s">
        <v>729</v>
      </c>
      <c r="E426" s="105" t="s">
        <v>46</v>
      </c>
      <c r="F426" s="106">
        <v>3</v>
      </c>
      <c r="G426" s="107">
        <f>Composição!H336</f>
        <v>161.00479999999999</v>
      </c>
      <c r="H426" s="45">
        <f t="shared" si="48"/>
        <v>191.64</v>
      </c>
      <c r="I426" s="45">
        <f t="shared" si="49"/>
        <v>574.91999999999996</v>
      </c>
    </row>
    <row r="427" spans="1:9" ht="24" x14ac:dyDescent="0.25">
      <c r="A427" s="45" t="s">
        <v>730</v>
      </c>
      <c r="B427" s="61" t="s">
        <v>731</v>
      </c>
      <c r="C427" s="82" t="s">
        <v>42</v>
      </c>
      <c r="D427" s="97" t="s">
        <v>732</v>
      </c>
      <c r="E427" s="105" t="s">
        <v>46</v>
      </c>
      <c r="F427" s="106">
        <v>9</v>
      </c>
      <c r="G427" s="107">
        <f>Composição!H342</f>
        <v>280.1748</v>
      </c>
      <c r="H427" s="45">
        <f t="shared" si="48"/>
        <v>333.49</v>
      </c>
      <c r="I427" s="45">
        <f t="shared" si="49"/>
        <v>3001.41</v>
      </c>
    </row>
    <row r="428" spans="1:9" ht="36" x14ac:dyDescent="0.25">
      <c r="A428" s="45" t="s">
        <v>733</v>
      </c>
      <c r="B428" s="61" t="s">
        <v>734</v>
      </c>
      <c r="C428" s="82" t="s">
        <v>42</v>
      </c>
      <c r="D428" s="97" t="s">
        <v>735</v>
      </c>
      <c r="E428" s="105" t="s">
        <v>46</v>
      </c>
      <c r="F428" s="106">
        <v>36</v>
      </c>
      <c r="G428" s="107">
        <f>Composição!H348</f>
        <v>266.01914999999997</v>
      </c>
      <c r="H428" s="45">
        <f t="shared" si="48"/>
        <v>316.64</v>
      </c>
      <c r="I428" s="45">
        <f t="shared" si="49"/>
        <v>11399.04</v>
      </c>
    </row>
    <row r="429" spans="1:9" x14ac:dyDescent="0.25">
      <c r="A429" s="45"/>
      <c r="B429" s="82"/>
      <c r="C429" s="82"/>
      <c r="D429" s="101" t="s">
        <v>736</v>
      </c>
      <c r="E429" s="105"/>
      <c r="F429" s="106"/>
      <c r="G429" s="107"/>
      <c r="H429" s="108"/>
      <c r="I429" s="45"/>
    </row>
    <row r="430" spans="1:9" ht="24" x14ac:dyDescent="0.25">
      <c r="A430" s="45" t="s">
        <v>737</v>
      </c>
      <c r="B430" s="82">
        <v>91926</v>
      </c>
      <c r="C430" s="82" t="s">
        <v>25</v>
      </c>
      <c r="D430" s="97" t="s">
        <v>738</v>
      </c>
      <c r="E430" s="105" t="s">
        <v>60</v>
      </c>
      <c r="F430" s="106">
        <v>3150</v>
      </c>
      <c r="G430" s="107">
        <v>2.71</v>
      </c>
      <c r="H430" s="45">
        <f t="shared" ref="H430:H439" si="50">TRUNC(G430*1.1903,2)</f>
        <v>3.22</v>
      </c>
      <c r="I430" s="45">
        <f t="shared" ref="I430:I439" si="51">TRUNC(F430*H430,2)</f>
        <v>10143</v>
      </c>
    </row>
    <row r="431" spans="1:9" ht="24" x14ac:dyDescent="0.25">
      <c r="A431" s="45" t="s">
        <v>739</v>
      </c>
      <c r="B431" s="82">
        <v>91928</v>
      </c>
      <c r="C431" s="82" t="s">
        <v>25</v>
      </c>
      <c r="D431" s="97" t="s">
        <v>740</v>
      </c>
      <c r="E431" s="105" t="s">
        <v>60</v>
      </c>
      <c r="F431" s="106">
        <v>700</v>
      </c>
      <c r="G431" s="107">
        <v>4.32</v>
      </c>
      <c r="H431" s="45">
        <f t="shared" si="50"/>
        <v>5.14</v>
      </c>
      <c r="I431" s="45">
        <f t="shared" si="51"/>
        <v>3598</v>
      </c>
    </row>
    <row r="432" spans="1:9" ht="24" x14ac:dyDescent="0.25">
      <c r="A432" s="45" t="s">
        <v>741</v>
      </c>
      <c r="B432" s="82">
        <v>91930</v>
      </c>
      <c r="C432" s="82" t="s">
        <v>25</v>
      </c>
      <c r="D432" s="97" t="s">
        <v>742</v>
      </c>
      <c r="E432" s="105" t="s">
        <v>60</v>
      </c>
      <c r="F432" s="106">
        <v>100</v>
      </c>
      <c r="G432" s="107">
        <v>5.89</v>
      </c>
      <c r="H432" s="45">
        <f t="shared" si="50"/>
        <v>7.01</v>
      </c>
      <c r="I432" s="45">
        <f t="shared" si="51"/>
        <v>701</v>
      </c>
    </row>
    <row r="433" spans="1:9" ht="24" x14ac:dyDescent="0.25">
      <c r="A433" s="45" t="s">
        <v>743</v>
      </c>
      <c r="B433" s="82">
        <v>91927</v>
      </c>
      <c r="C433" s="82" t="s">
        <v>25</v>
      </c>
      <c r="D433" s="97" t="s">
        <v>744</v>
      </c>
      <c r="E433" s="105" t="s">
        <v>60</v>
      </c>
      <c r="F433" s="106">
        <v>150</v>
      </c>
      <c r="G433" s="107">
        <v>3.48</v>
      </c>
      <c r="H433" s="45">
        <f t="shared" si="50"/>
        <v>4.1399999999999997</v>
      </c>
      <c r="I433" s="45">
        <f t="shared" si="51"/>
        <v>621</v>
      </c>
    </row>
    <row r="434" spans="1:9" ht="24" x14ac:dyDescent="0.25">
      <c r="A434" s="45" t="s">
        <v>745</v>
      </c>
      <c r="B434" s="82">
        <v>91933</v>
      </c>
      <c r="C434" s="82" t="s">
        <v>25</v>
      </c>
      <c r="D434" s="97" t="s">
        <v>746</v>
      </c>
      <c r="E434" s="105" t="s">
        <v>60</v>
      </c>
      <c r="F434" s="106">
        <v>400</v>
      </c>
      <c r="G434" s="107">
        <v>10.24</v>
      </c>
      <c r="H434" s="45">
        <f t="shared" si="50"/>
        <v>12.18</v>
      </c>
      <c r="I434" s="45">
        <f t="shared" si="51"/>
        <v>4872</v>
      </c>
    </row>
    <row r="435" spans="1:9" ht="24" x14ac:dyDescent="0.25">
      <c r="A435" s="45" t="s">
        <v>747</v>
      </c>
      <c r="B435" s="82">
        <v>91935</v>
      </c>
      <c r="C435" s="82" t="s">
        <v>25</v>
      </c>
      <c r="D435" s="97" t="s">
        <v>748</v>
      </c>
      <c r="E435" s="105" t="s">
        <v>60</v>
      </c>
      <c r="F435" s="106">
        <v>478</v>
      </c>
      <c r="G435" s="107">
        <v>15.58</v>
      </c>
      <c r="H435" s="45">
        <f t="shared" si="50"/>
        <v>18.54</v>
      </c>
      <c r="I435" s="45">
        <f t="shared" si="51"/>
        <v>8862.1200000000008</v>
      </c>
    </row>
    <row r="436" spans="1:9" ht="24" x14ac:dyDescent="0.25">
      <c r="A436" s="45" t="s">
        <v>749</v>
      </c>
      <c r="B436" s="82">
        <v>92984</v>
      </c>
      <c r="C436" s="82" t="s">
        <v>25</v>
      </c>
      <c r="D436" s="97" t="s">
        <v>750</v>
      </c>
      <c r="E436" s="105" t="s">
        <v>60</v>
      </c>
      <c r="F436" s="106">
        <v>262</v>
      </c>
      <c r="G436" s="107">
        <v>17.04</v>
      </c>
      <c r="H436" s="45">
        <f t="shared" si="50"/>
        <v>20.28</v>
      </c>
      <c r="I436" s="45">
        <f t="shared" si="51"/>
        <v>5313.36</v>
      </c>
    </row>
    <row r="437" spans="1:9" ht="24" x14ac:dyDescent="0.25">
      <c r="A437" s="45" t="s">
        <v>751</v>
      </c>
      <c r="B437" s="82">
        <v>92986</v>
      </c>
      <c r="C437" s="82" t="s">
        <v>25</v>
      </c>
      <c r="D437" s="97" t="s">
        <v>752</v>
      </c>
      <c r="E437" s="105" t="s">
        <v>60</v>
      </c>
      <c r="F437" s="106">
        <v>115</v>
      </c>
      <c r="G437" s="107">
        <v>22.91</v>
      </c>
      <c r="H437" s="45">
        <f t="shared" si="50"/>
        <v>27.26</v>
      </c>
      <c r="I437" s="45">
        <f t="shared" si="51"/>
        <v>3134.9</v>
      </c>
    </row>
    <row r="438" spans="1:9" ht="24" x14ac:dyDescent="0.25">
      <c r="A438" s="45" t="s">
        <v>753</v>
      </c>
      <c r="B438" s="82">
        <v>92988</v>
      </c>
      <c r="C438" s="82" t="s">
        <v>25</v>
      </c>
      <c r="D438" s="97" t="s">
        <v>754</v>
      </c>
      <c r="E438" s="105" t="s">
        <v>60</v>
      </c>
      <c r="F438" s="106">
        <v>38</v>
      </c>
      <c r="G438" s="107">
        <v>32.020000000000003</v>
      </c>
      <c r="H438" s="45">
        <f t="shared" si="50"/>
        <v>38.11</v>
      </c>
      <c r="I438" s="45">
        <f t="shared" si="51"/>
        <v>1448.18</v>
      </c>
    </row>
    <row r="439" spans="1:9" ht="24" x14ac:dyDescent="0.25">
      <c r="A439" s="45" t="s">
        <v>755</v>
      </c>
      <c r="B439" s="82">
        <v>92990</v>
      </c>
      <c r="C439" s="82" t="s">
        <v>25</v>
      </c>
      <c r="D439" s="97" t="s">
        <v>756</v>
      </c>
      <c r="E439" s="105" t="s">
        <v>60</v>
      </c>
      <c r="F439" s="106">
        <v>14</v>
      </c>
      <c r="G439" s="107">
        <v>43.78</v>
      </c>
      <c r="H439" s="45">
        <f t="shared" si="50"/>
        <v>52.11</v>
      </c>
      <c r="I439" s="45">
        <f t="shared" si="51"/>
        <v>729.54</v>
      </c>
    </row>
    <row r="440" spans="1:9" x14ac:dyDescent="0.25">
      <c r="A440" s="45"/>
      <c r="B440" s="82"/>
      <c r="C440" s="82"/>
      <c r="D440" s="101" t="s">
        <v>757</v>
      </c>
      <c r="E440" s="105"/>
      <c r="F440" s="106"/>
      <c r="G440" s="107"/>
      <c r="H440" s="108"/>
      <c r="I440" s="45"/>
    </row>
    <row r="441" spans="1:9" ht="36" x14ac:dyDescent="0.25">
      <c r="A441" s="45" t="s">
        <v>758</v>
      </c>
      <c r="B441" s="82">
        <v>95749</v>
      </c>
      <c r="C441" s="82" t="s">
        <v>25</v>
      </c>
      <c r="D441" s="97" t="s">
        <v>759</v>
      </c>
      <c r="E441" s="105" t="s">
        <v>60</v>
      </c>
      <c r="F441" s="106">
        <v>150</v>
      </c>
      <c r="G441" s="107">
        <v>21.75</v>
      </c>
      <c r="H441" s="45">
        <f t="shared" ref="H441:H473" si="52">TRUNC(G441*1.1903,2)</f>
        <v>25.88</v>
      </c>
      <c r="I441" s="45">
        <f t="shared" ref="I441:I473" si="53">TRUNC(F441*H441,2)</f>
        <v>3882</v>
      </c>
    </row>
    <row r="442" spans="1:9" ht="36" x14ac:dyDescent="0.25">
      <c r="A442" s="45" t="s">
        <v>760</v>
      </c>
      <c r="B442" s="82">
        <v>95750</v>
      </c>
      <c r="C442" s="82" t="s">
        <v>25</v>
      </c>
      <c r="D442" s="97" t="s">
        <v>761</v>
      </c>
      <c r="E442" s="105" t="s">
        <v>60</v>
      </c>
      <c r="F442" s="106">
        <v>220</v>
      </c>
      <c r="G442" s="107">
        <v>25.67</v>
      </c>
      <c r="H442" s="45">
        <f t="shared" si="52"/>
        <v>30.55</v>
      </c>
      <c r="I442" s="45">
        <f t="shared" si="53"/>
        <v>6721</v>
      </c>
    </row>
    <row r="443" spans="1:9" ht="36" x14ac:dyDescent="0.25">
      <c r="A443" s="45" t="s">
        <v>762</v>
      </c>
      <c r="B443" s="61" t="s">
        <v>763</v>
      </c>
      <c r="C443" s="82" t="s">
        <v>42</v>
      </c>
      <c r="D443" s="97" t="s">
        <v>764</v>
      </c>
      <c r="E443" s="105" t="s">
        <v>60</v>
      </c>
      <c r="F443" s="106">
        <v>170</v>
      </c>
      <c r="G443" s="107">
        <f>Composição!H355</f>
        <v>34.794219999999996</v>
      </c>
      <c r="H443" s="45">
        <f t="shared" si="52"/>
        <v>41.41</v>
      </c>
      <c r="I443" s="45">
        <f t="shared" si="53"/>
        <v>7039.7</v>
      </c>
    </row>
    <row r="444" spans="1:9" ht="36" x14ac:dyDescent="0.25">
      <c r="A444" s="45" t="s">
        <v>765</v>
      </c>
      <c r="B444" s="61" t="s">
        <v>766</v>
      </c>
      <c r="C444" s="82" t="s">
        <v>42</v>
      </c>
      <c r="D444" s="97" t="s">
        <v>767</v>
      </c>
      <c r="E444" s="105" t="s">
        <v>60</v>
      </c>
      <c r="F444" s="106">
        <v>12</v>
      </c>
      <c r="G444" s="107">
        <f>Composição!H362</f>
        <v>83.444220000000001</v>
      </c>
      <c r="H444" s="45">
        <f t="shared" si="52"/>
        <v>99.32</v>
      </c>
      <c r="I444" s="45">
        <f t="shared" si="53"/>
        <v>1191.8399999999999</v>
      </c>
    </row>
    <row r="445" spans="1:9" ht="48" x14ac:dyDescent="0.25">
      <c r="A445" s="45" t="s">
        <v>768</v>
      </c>
      <c r="B445" s="61" t="s">
        <v>769</v>
      </c>
      <c r="C445" s="82" t="s">
        <v>42</v>
      </c>
      <c r="D445" s="97" t="s">
        <v>770</v>
      </c>
      <c r="E445" s="105" t="s">
        <v>60</v>
      </c>
      <c r="F445" s="106">
        <v>18</v>
      </c>
      <c r="G445" s="107">
        <f>Composição!H529</f>
        <v>20.795000000000002</v>
      </c>
      <c r="H445" s="45">
        <f t="shared" si="52"/>
        <v>24.75</v>
      </c>
      <c r="I445" s="45">
        <f t="shared" si="53"/>
        <v>445.5</v>
      </c>
    </row>
    <row r="446" spans="1:9" ht="36" x14ac:dyDescent="0.25">
      <c r="A446" s="45" t="s">
        <v>771</v>
      </c>
      <c r="B446" s="82">
        <v>91863</v>
      </c>
      <c r="C446" s="82" t="s">
        <v>25</v>
      </c>
      <c r="D446" s="97" t="s">
        <v>772</v>
      </c>
      <c r="E446" s="105" t="s">
        <v>60</v>
      </c>
      <c r="F446" s="106">
        <v>130</v>
      </c>
      <c r="G446" s="107">
        <v>7.56</v>
      </c>
      <c r="H446" s="45">
        <f t="shared" si="52"/>
        <v>8.99</v>
      </c>
      <c r="I446" s="45">
        <f t="shared" si="53"/>
        <v>1168.7</v>
      </c>
    </row>
    <row r="447" spans="1:9" ht="36" x14ac:dyDescent="0.25">
      <c r="A447" s="45" t="s">
        <v>773</v>
      </c>
      <c r="B447" s="82">
        <v>91864</v>
      </c>
      <c r="C447" s="82" t="s">
        <v>25</v>
      </c>
      <c r="D447" s="97" t="s">
        <v>774</v>
      </c>
      <c r="E447" s="105" t="s">
        <v>60</v>
      </c>
      <c r="F447" s="106">
        <v>60</v>
      </c>
      <c r="G447" s="107">
        <v>9.73</v>
      </c>
      <c r="H447" s="45">
        <f t="shared" si="52"/>
        <v>11.58</v>
      </c>
      <c r="I447" s="45">
        <f t="shared" si="53"/>
        <v>694.8</v>
      </c>
    </row>
    <row r="448" spans="1:9" ht="36" x14ac:dyDescent="0.25">
      <c r="A448" s="45" t="s">
        <v>775</v>
      </c>
      <c r="B448" s="82">
        <v>95779</v>
      </c>
      <c r="C448" s="82" t="s">
        <v>25</v>
      </c>
      <c r="D448" s="97" t="s">
        <v>776</v>
      </c>
      <c r="E448" s="105" t="s">
        <v>46</v>
      </c>
      <c r="F448" s="106">
        <v>60</v>
      </c>
      <c r="G448" s="107">
        <v>18.2</v>
      </c>
      <c r="H448" s="45">
        <f t="shared" si="52"/>
        <v>21.66</v>
      </c>
      <c r="I448" s="45">
        <f t="shared" si="53"/>
        <v>1299.5999999999999</v>
      </c>
    </row>
    <row r="449" spans="1:9" ht="36" x14ac:dyDescent="0.25">
      <c r="A449" s="45" t="s">
        <v>777</v>
      </c>
      <c r="B449" s="82">
        <v>95782</v>
      </c>
      <c r="C449" s="82" t="s">
        <v>25</v>
      </c>
      <c r="D449" s="97" t="s">
        <v>778</v>
      </c>
      <c r="E449" s="105" t="s">
        <v>46</v>
      </c>
      <c r="F449" s="106">
        <v>50</v>
      </c>
      <c r="G449" s="107">
        <v>22.15</v>
      </c>
      <c r="H449" s="45">
        <f t="shared" si="52"/>
        <v>26.36</v>
      </c>
      <c r="I449" s="45">
        <f t="shared" si="53"/>
        <v>1318</v>
      </c>
    </row>
    <row r="450" spans="1:9" ht="36" x14ac:dyDescent="0.25">
      <c r="A450" s="45" t="s">
        <v>779</v>
      </c>
      <c r="B450" s="82">
        <v>95785</v>
      </c>
      <c r="C450" s="82" t="s">
        <v>25</v>
      </c>
      <c r="D450" s="97" t="s">
        <v>780</v>
      </c>
      <c r="E450" s="105" t="s">
        <v>46</v>
      </c>
      <c r="F450" s="106">
        <v>40</v>
      </c>
      <c r="G450" s="107">
        <v>24.8</v>
      </c>
      <c r="H450" s="45">
        <f t="shared" si="52"/>
        <v>29.51</v>
      </c>
      <c r="I450" s="45">
        <f t="shared" si="53"/>
        <v>1180.4000000000001</v>
      </c>
    </row>
    <row r="451" spans="1:9" ht="36" x14ac:dyDescent="0.25">
      <c r="A451" s="45" t="s">
        <v>781</v>
      </c>
      <c r="B451" s="82">
        <v>95778</v>
      </c>
      <c r="C451" s="82" t="s">
        <v>25</v>
      </c>
      <c r="D451" s="97" t="s">
        <v>782</v>
      </c>
      <c r="E451" s="105" t="s">
        <v>46</v>
      </c>
      <c r="F451" s="106">
        <v>20</v>
      </c>
      <c r="G451" s="107">
        <v>19.39</v>
      </c>
      <c r="H451" s="45">
        <f t="shared" si="52"/>
        <v>23.07</v>
      </c>
      <c r="I451" s="45">
        <f t="shared" si="53"/>
        <v>461.4</v>
      </c>
    </row>
    <row r="452" spans="1:9" ht="36" x14ac:dyDescent="0.25">
      <c r="A452" s="45" t="s">
        <v>783</v>
      </c>
      <c r="B452" s="82">
        <v>95781</v>
      </c>
      <c r="C452" s="82" t="s">
        <v>25</v>
      </c>
      <c r="D452" s="97" t="s">
        <v>784</v>
      </c>
      <c r="E452" s="105" t="s">
        <v>46</v>
      </c>
      <c r="F452" s="106">
        <v>25</v>
      </c>
      <c r="G452" s="107">
        <v>21.46</v>
      </c>
      <c r="H452" s="45">
        <f t="shared" si="52"/>
        <v>25.54</v>
      </c>
      <c r="I452" s="45">
        <f t="shared" si="53"/>
        <v>638.5</v>
      </c>
    </row>
    <row r="453" spans="1:9" ht="36" x14ac:dyDescent="0.25">
      <c r="A453" s="45" t="s">
        <v>785</v>
      </c>
      <c r="B453" s="82">
        <v>95785</v>
      </c>
      <c r="C453" s="82" t="s">
        <v>25</v>
      </c>
      <c r="D453" s="97" t="s">
        <v>786</v>
      </c>
      <c r="E453" s="105" t="s">
        <v>46</v>
      </c>
      <c r="F453" s="106">
        <v>20</v>
      </c>
      <c r="G453" s="107">
        <v>24.8</v>
      </c>
      <c r="H453" s="45">
        <f t="shared" si="52"/>
        <v>29.51</v>
      </c>
      <c r="I453" s="45">
        <f t="shared" si="53"/>
        <v>590.20000000000005</v>
      </c>
    </row>
    <row r="454" spans="1:9" ht="36" x14ac:dyDescent="0.25">
      <c r="A454" s="45" t="s">
        <v>787</v>
      </c>
      <c r="B454" s="82">
        <v>95795</v>
      </c>
      <c r="C454" s="82" t="s">
        <v>25</v>
      </c>
      <c r="D454" s="97" t="s">
        <v>788</v>
      </c>
      <c r="E454" s="105" t="s">
        <v>46</v>
      </c>
      <c r="F454" s="106">
        <v>8</v>
      </c>
      <c r="G454" s="107">
        <v>22.66</v>
      </c>
      <c r="H454" s="45">
        <f t="shared" si="52"/>
        <v>26.97</v>
      </c>
      <c r="I454" s="45">
        <f t="shared" si="53"/>
        <v>215.76</v>
      </c>
    </row>
    <row r="455" spans="1:9" ht="36" x14ac:dyDescent="0.25">
      <c r="A455" s="45" t="s">
        <v>789</v>
      </c>
      <c r="B455" s="82">
        <v>95796</v>
      </c>
      <c r="C455" s="82" t="s">
        <v>25</v>
      </c>
      <c r="D455" s="97" t="s">
        <v>790</v>
      </c>
      <c r="E455" s="105" t="s">
        <v>46</v>
      </c>
      <c r="F455" s="106">
        <v>8</v>
      </c>
      <c r="G455" s="107">
        <v>27.53</v>
      </c>
      <c r="H455" s="45">
        <f t="shared" si="52"/>
        <v>32.76</v>
      </c>
      <c r="I455" s="45">
        <f t="shared" si="53"/>
        <v>262.08</v>
      </c>
    </row>
    <row r="456" spans="1:9" ht="36" x14ac:dyDescent="0.25">
      <c r="A456" s="45" t="s">
        <v>791</v>
      </c>
      <c r="B456" s="82">
        <v>95797</v>
      </c>
      <c r="C456" s="82" t="s">
        <v>25</v>
      </c>
      <c r="D456" s="97" t="s">
        <v>792</v>
      </c>
      <c r="E456" s="105" t="s">
        <v>46</v>
      </c>
      <c r="F456" s="106">
        <v>8</v>
      </c>
      <c r="G456" s="107">
        <v>33.880000000000003</v>
      </c>
      <c r="H456" s="45">
        <f t="shared" si="52"/>
        <v>40.32</v>
      </c>
      <c r="I456" s="45">
        <f t="shared" si="53"/>
        <v>322.56</v>
      </c>
    </row>
    <row r="457" spans="1:9" ht="36" x14ac:dyDescent="0.25">
      <c r="A457" s="45" t="s">
        <v>793</v>
      </c>
      <c r="B457" s="82">
        <v>95807</v>
      </c>
      <c r="C457" s="82" t="s">
        <v>25</v>
      </c>
      <c r="D457" s="97" t="s">
        <v>794</v>
      </c>
      <c r="E457" s="105" t="s">
        <v>46</v>
      </c>
      <c r="F457" s="106">
        <v>8</v>
      </c>
      <c r="G457" s="107">
        <v>20.02</v>
      </c>
      <c r="H457" s="45">
        <f t="shared" si="52"/>
        <v>23.82</v>
      </c>
      <c r="I457" s="45">
        <f t="shared" si="53"/>
        <v>190.56</v>
      </c>
    </row>
    <row r="458" spans="1:9" ht="36" x14ac:dyDescent="0.25">
      <c r="A458" s="45" t="s">
        <v>795</v>
      </c>
      <c r="B458" s="82">
        <v>95808</v>
      </c>
      <c r="C458" s="82" t="s">
        <v>25</v>
      </c>
      <c r="D458" s="97" t="s">
        <v>796</v>
      </c>
      <c r="E458" s="105" t="s">
        <v>46</v>
      </c>
      <c r="F458" s="106">
        <v>8</v>
      </c>
      <c r="G458" s="107">
        <v>20.55</v>
      </c>
      <c r="H458" s="45">
        <f t="shared" si="52"/>
        <v>24.46</v>
      </c>
      <c r="I458" s="45">
        <f t="shared" si="53"/>
        <v>195.68</v>
      </c>
    </row>
    <row r="459" spans="1:9" ht="36" x14ac:dyDescent="0.25">
      <c r="A459" s="45" t="s">
        <v>797</v>
      </c>
      <c r="B459" s="82">
        <v>95809</v>
      </c>
      <c r="C459" s="82" t="s">
        <v>25</v>
      </c>
      <c r="D459" s="97" t="s">
        <v>798</v>
      </c>
      <c r="E459" s="105" t="s">
        <v>46</v>
      </c>
      <c r="F459" s="106">
        <v>8</v>
      </c>
      <c r="G459" s="107">
        <v>22.45</v>
      </c>
      <c r="H459" s="45">
        <f t="shared" si="52"/>
        <v>26.72</v>
      </c>
      <c r="I459" s="45">
        <f t="shared" si="53"/>
        <v>213.76</v>
      </c>
    </row>
    <row r="460" spans="1:9" ht="36" x14ac:dyDescent="0.25">
      <c r="A460" s="45" t="s">
        <v>799</v>
      </c>
      <c r="B460" s="82">
        <v>95757</v>
      </c>
      <c r="C460" s="82" t="s">
        <v>25</v>
      </c>
      <c r="D460" s="97" t="s">
        <v>800</v>
      </c>
      <c r="E460" s="105" t="s">
        <v>46</v>
      </c>
      <c r="F460" s="106">
        <v>96</v>
      </c>
      <c r="G460" s="107">
        <v>8.4600000000000009</v>
      </c>
      <c r="H460" s="45">
        <f t="shared" si="52"/>
        <v>10.06</v>
      </c>
      <c r="I460" s="45">
        <f t="shared" si="53"/>
        <v>965.76</v>
      </c>
    </row>
    <row r="461" spans="1:9" ht="36" x14ac:dyDescent="0.25">
      <c r="A461" s="45" t="s">
        <v>801</v>
      </c>
      <c r="B461" s="82">
        <v>95758</v>
      </c>
      <c r="C461" s="82" t="s">
        <v>25</v>
      </c>
      <c r="D461" s="97" t="s">
        <v>802</v>
      </c>
      <c r="E461" s="105" t="s">
        <v>46</v>
      </c>
      <c r="F461" s="106">
        <v>91</v>
      </c>
      <c r="G461" s="107">
        <v>9.5</v>
      </c>
      <c r="H461" s="45">
        <f t="shared" si="52"/>
        <v>11.3</v>
      </c>
      <c r="I461" s="45">
        <f t="shared" si="53"/>
        <v>1028.3</v>
      </c>
    </row>
    <row r="462" spans="1:9" ht="36" x14ac:dyDescent="0.25">
      <c r="A462" s="45" t="s">
        <v>803</v>
      </c>
      <c r="B462" s="82">
        <v>95759</v>
      </c>
      <c r="C462" s="82" t="s">
        <v>25</v>
      </c>
      <c r="D462" s="97" t="s">
        <v>804</v>
      </c>
      <c r="E462" s="105" t="s">
        <v>46</v>
      </c>
      <c r="F462" s="106">
        <v>76</v>
      </c>
      <c r="G462" s="107">
        <v>12.06</v>
      </c>
      <c r="H462" s="45">
        <f t="shared" si="52"/>
        <v>14.35</v>
      </c>
      <c r="I462" s="45">
        <f t="shared" si="53"/>
        <v>1090.5999999999999</v>
      </c>
    </row>
    <row r="463" spans="1:9" ht="36" x14ac:dyDescent="0.25">
      <c r="A463" s="45" t="s">
        <v>805</v>
      </c>
      <c r="B463" s="61" t="s">
        <v>806</v>
      </c>
      <c r="C463" s="82" t="s">
        <v>42</v>
      </c>
      <c r="D463" s="97" t="s">
        <v>807</v>
      </c>
      <c r="E463" s="105" t="s">
        <v>46</v>
      </c>
      <c r="F463" s="106">
        <v>15</v>
      </c>
      <c r="G463" s="107">
        <f>Composição!H376</f>
        <v>13.306650000000001</v>
      </c>
      <c r="H463" s="45">
        <f t="shared" si="52"/>
        <v>15.83</v>
      </c>
      <c r="I463" s="45">
        <f t="shared" si="53"/>
        <v>237.45</v>
      </c>
    </row>
    <row r="464" spans="1:9" ht="36" x14ac:dyDescent="0.25">
      <c r="A464" s="45" t="s">
        <v>808</v>
      </c>
      <c r="B464" s="61" t="s">
        <v>809</v>
      </c>
      <c r="C464" s="82" t="s">
        <v>42</v>
      </c>
      <c r="D464" s="97" t="s">
        <v>810</v>
      </c>
      <c r="E464" s="105" t="s">
        <v>46</v>
      </c>
      <c r="F464" s="106">
        <v>22</v>
      </c>
      <c r="G464" s="107">
        <f>Composição!H382</f>
        <v>16.156550000000003</v>
      </c>
      <c r="H464" s="45">
        <f t="shared" si="52"/>
        <v>19.23</v>
      </c>
      <c r="I464" s="45">
        <f t="shared" si="53"/>
        <v>423.06</v>
      </c>
    </row>
    <row r="465" spans="1:9" ht="36" x14ac:dyDescent="0.25">
      <c r="A465" s="45" t="s">
        <v>811</v>
      </c>
      <c r="B465" s="61" t="s">
        <v>812</v>
      </c>
      <c r="C465" s="82" t="s">
        <v>42</v>
      </c>
      <c r="D465" s="97" t="s">
        <v>813</v>
      </c>
      <c r="E465" s="105" t="s">
        <v>46</v>
      </c>
      <c r="F465" s="106">
        <v>15</v>
      </c>
      <c r="G465" s="107">
        <f>Composição!H388</f>
        <v>25.213200000000001</v>
      </c>
      <c r="H465" s="45">
        <f t="shared" si="52"/>
        <v>30.01</v>
      </c>
      <c r="I465" s="45">
        <f t="shared" si="53"/>
        <v>450.15</v>
      </c>
    </row>
    <row r="466" spans="1:9" ht="24" x14ac:dyDescent="0.25">
      <c r="A466" s="45" t="s">
        <v>814</v>
      </c>
      <c r="B466" s="82">
        <v>91996</v>
      </c>
      <c r="C466" s="82" t="s">
        <v>25</v>
      </c>
      <c r="D466" s="97" t="s">
        <v>815</v>
      </c>
      <c r="E466" s="105" t="s">
        <v>46</v>
      </c>
      <c r="F466" s="106">
        <v>80</v>
      </c>
      <c r="G466" s="107">
        <v>21.43</v>
      </c>
      <c r="H466" s="45">
        <f t="shared" si="52"/>
        <v>25.5</v>
      </c>
      <c r="I466" s="45">
        <f t="shared" si="53"/>
        <v>2040</v>
      </c>
    </row>
    <row r="467" spans="1:9" ht="24" x14ac:dyDescent="0.25">
      <c r="A467" s="45" t="s">
        <v>816</v>
      </c>
      <c r="B467" s="82">
        <v>92004</v>
      </c>
      <c r="C467" s="82" t="s">
        <v>25</v>
      </c>
      <c r="D467" s="97" t="s">
        <v>817</v>
      </c>
      <c r="E467" s="105" t="s">
        <v>46</v>
      </c>
      <c r="F467" s="106">
        <v>104</v>
      </c>
      <c r="G467" s="107">
        <v>35.33</v>
      </c>
      <c r="H467" s="45">
        <f t="shared" si="52"/>
        <v>42.05</v>
      </c>
      <c r="I467" s="45">
        <f t="shared" si="53"/>
        <v>4373.2</v>
      </c>
    </row>
    <row r="468" spans="1:9" ht="24" x14ac:dyDescent="0.25">
      <c r="A468" s="45" t="s">
        <v>818</v>
      </c>
      <c r="B468" s="82">
        <v>92012</v>
      </c>
      <c r="C468" s="82" t="s">
        <v>25</v>
      </c>
      <c r="D468" s="97" t="s">
        <v>819</v>
      </c>
      <c r="E468" s="105" t="s">
        <v>46</v>
      </c>
      <c r="F468" s="106">
        <v>11</v>
      </c>
      <c r="G468" s="107">
        <v>49.24</v>
      </c>
      <c r="H468" s="45">
        <f t="shared" si="52"/>
        <v>58.61</v>
      </c>
      <c r="I468" s="45">
        <f t="shared" si="53"/>
        <v>644.71</v>
      </c>
    </row>
    <row r="469" spans="1:9" ht="24" x14ac:dyDescent="0.25">
      <c r="A469" s="45" t="s">
        <v>820</v>
      </c>
      <c r="B469" s="82">
        <v>91997</v>
      </c>
      <c r="C469" s="82" t="s">
        <v>25</v>
      </c>
      <c r="D469" s="97" t="s">
        <v>821</v>
      </c>
      <c r="E469" s="105" t="s">
        <v>46</v>
      </c>
      <c r="F469" s="106">
        <v>22</v>
      </c>
      <c r="G469" s="107">
        <v>22.73</v>
      </c>
      <c r="H469" s="45">
        <f t="shared" si="52"/>
        <v>27.05</v>
      </c>
      <c r="I469" s="45">
        <f t="shared" si="53"/>
        <v>595.1</v>
      </c>
    </row>
    <row r="470" spans="1:9" ht="24" x14ac:dyDescent="0.25">
      <c r="A470" s="45" t="s">
        <v>822</v>
      </c>
      <c r="B470" s="82">
        <v>91953</v>
      </c>
      <c r="C470" s="82" t="s">
        <v>25</v>
      </c>
      <c r="D470" s="97" t="s">
        <v>823</v>
      </c>
      <c r="E470" s="105" t="s">
        <v>46</v>
      </c>
      <c r="F470" s="106">
        <v>4</v>
      </c>
      <c r="G470" s="107">
        <v>17.75</v>
      </c>
      <c r="H470" s="45">
        <f t="shared" si="52"/>
        <v>21.12</v>
      </c>
      <c r="I470" s="45">
        <f t="shared" si="53"/>
        <v>84.48</v>
      </c>
    </row>
    <row r="471" spans="1:9" ht="24" x14ac:dyDescent="0.25">
      <c r="A471" s="45" t="s">
        <v>824</v>
      </c>
      <c r="B471" s="82">
        <v>91959</v>
      </c>
      <c r="C471" s="82" t="s">
        <v>25</v>
      </c>
      <c r="D471" s="97" t="s">
        <v>825</v>
      </c>
      <c r="E471" s="105" t="s">
        <v>46</v>
      </c>
      <c r="F471" s="106">
        <v>4</v>
      </c>
      <c r="G471" s="107">
        <v>28.02</v>
      </c>
      <c r="H471" s="45">
        <f t="shared" si="52"/>
        <v>33.35</v>
      </c>
      <c r="I471" s="45">
        <f t="shared" si="53"/>
        <v>133.4</v>
      </c>
    </row>
    <row r="472" spans="1:9" ht="24" x14ac:dyDescent="0.25">
      <c r="A472" s="45" t="s">
        <v>826</v>
      </c>
      <c r="B472" s="82">
        <v>91967</v>
      </c>
      <c r="C472" s="82" t="s">
        <v>25</v>
      </c>
      <c r="D472" s="97" t="s">
        <v>827</v>
      </c>
      <c r="E472" s="105" t="s">
        <v>46</v>
      </c>
      <c r="F472" s="106">
        <v>2</v>
      </c>
      <c r="G472" s="107">
        <v>38.299999999999997</v>
      </c>
      <c r="H472" s="45">
        <f t="shared" si="52"/>
        <v>45.58</v>
      </c>
      <c r="I472" s="45">
        <f t="shared" si="53"/>
        <v>91.16</v>
      </c>
    </row>
    <row r="473" spans="1:9" ht="24" x14ac:dyDescent="0.25">
      <c r="A473" s="45" t="s">
        <v>828</v>
      </c>
      <c r="B473" s="82" t="s">
        <v>829</v>
      </c>
      <c r="C473" s="82" t="s">
        <v>42</v>
      </c>
      <c r="D473" s="97" t="s">
        <v>830</v>
      </c>
      <c r="E473" s="105" t="s">
        <v>46</v>
      </c>
      <c r="F473" s="106">
        <v>6</v>
      </c>
      <c r="G473" s="107">
        <f>Composição!H394</f>
        <v>2025.53</v>
      </c>
      <c r="H473" s="45">
        <f t="shared" si="52"/>
        <v>2410.98</v>
      </c>
      <c r="I473" s="45">
        <f t="shared" si="53"/>
        <v>14465.88</v>
      </c>
    </row>
    <row r="474" spans="1:9" x14ac:dyDescent="0.25">
      <c r="A474" s="109"/>
      <c r="B474" s="82"/>
      <c r="C474" s="82"/>
      <c r="D474" s="101" t="s">
        <v>831</v>
      </c>
      <c r="E474" s="105"/>
      <c r="F474" s="106"/>
      <c r="G474" s="107"/>
      <c r="H474" s="108"/>
      <c r="I474" s="109"/>
    </row>
    <row r="475" spans="1:9" ht="24" x14ac:dyDescent="0.25">
      <c r="A475" s="45" t="s">
        <v>832</v>
      </c>
      <c r="B475" s="82" t="s">
        <v>833</v>
      </c>
      <c r="C475" s="82" t="s">
        <v>42</v>
      </c>
      <c r="D475" s="97" t="s">
        <v>834</v>
      </c>
      <c r="E475" s="105" t="s">
        <v>46</v>
      </c>
      <c r="F475" s="106">
        <v>70</v>
      </c>
      <c r="G475" s="107">
        <f>Composição!H414</f>
        <v>136.48000000000002</v>
      </c>
      <c r="H475" s="45">
        <f>TRUNC(G475*1.1903,2)</f>
        <v>162.44999999999999</v>
      </c>
      <c r="I475" s="45">
        <f>TRUNC(F475*H475,2)</f>
        <v>11371.5</v>
      </c>
    </row>
    <row r="476" spans="1:9" x14ac:dyDescent="0.25">
      <c r="A476" s="45" t="s">
        <v>835</v>
      </c>
      <c r="B476" s="82" t="s">
        <v>836</v>
      </c>
      <c r="C476" s="82" t="s">
        <v>42</v>
      </c>
      <c r="D476" s="97" t="s">
        <v>837</v>
      </c>
      <c r="E476" s="105" t="s">
        <v>46</v>
      </c>
      <c r="F476" s="106">
        <v>9</v>
      </c>
      <c r="G476" s="107">
        <f>Composição!H407</f>
        <v>233.74</v>
      </c>
      <c r="H476" s="45">
        <f>TRUNC(G476*1.1903,2)</f>
        <v>278.22000000000003</v>
      </c>
      <c r="I476" s="45">
        <f>TRUNC(F476*H476,2)</f>
        <v>2503.98</v>
      </c>
    </row>
    <row r="477" spans="1:9" ht="36" x14ac:dyDescent="0.25">
      <c r="A477" s="45" t="s">
        <v>838</v>
      </c>
      <c r="B477" s="61" t="s">
        <v>839</v>
      </c>
      <c r="C477" s="82" t="s">
        <v>42</v>
      </c>
      <c r="D477" s="97" t="s">
        <v>840</v>
      </c>
      <c r="E477" s="105" t="s">
        <v>46</v>
      </c>
      <c r="F477" s="106">
        <v>2</v>
      </c>
      <c r="G477" s="107">
        <f>Composição!H421</f>
        <v>38.842499999999994</v>
      </c>
      <c r="H477" s="45">
        <f>TRUNC(G477*1.1903,2)</f>
        <v>46.23</v>
      </c>
      <c r="I477" s="45">
        <f>TRUNC(F477*H477,2)</f>
        <v>92.46</v>
      </c>
    </row>
    <row r="478" spans="1:9" ht="24" x14ac:dyDescent="0.25">
      <c r="A478" s="45" t="s">
        <v>841</v>
      </c>
      <c r="B478" s="61" t="s">
        <v>842</v>
      </c>
      <c r="C478" s="82" t="s">
        <v>42</v>
      </c>
      <c r="D478" s="97" t="s">
        <v>843</v>
      </c>
      <c r="E478" s="105" t="s">
        <v>46</v>
      </c>
      <c r="F478" s="106">
        <v>8</v>
      </c>
      <c r="G478" s="107">
        <f>Composição!H523</f>
        <v>152.19999999999999</v>
      </c>
      <c r="H478" s="45">
        <f>TRUNC(G478*1.1903,2)</f>
        <v>181.16</v>
      </c>
      <c r="I478" s="45">
        <f>TRUNC(F478*H478,2)</f>
        <v>1449.28</v>
      </c>
    </row>
    <row r="479" spans="1:9" x14ac:dyDescent="0.25">
      <c r="A479" s="45" t="s">
        <v>844</v>
      </c>
      <c r="B479" s="61"/>
      <c r="C479" s="82"/>
      <c r="D479" s="101" t="s">
        <v>845</v>
      </c>
      <c r="E479" s="105"/>
      <c r="F479" s="106"/>
      <c r="G479" s="107"/>
      <c r="H479" s="45"/>
      <c r="I479" s="45"/>
    </row>
    <row r="480" spans="1:9" ht="24" x14ac:dyDescent="0.25">
      <c r="A480" s="45" t="s">
        <v>846</v>
      </c>
      <c r="B480" s="61" t="s">
        <v>847</v>
      </c>
      <c r="C480" s="82" t="s">
        <v>42</v>
      </c>
      <c r="D480" s="97" t="s">
        <v>848</v>
      </c>
      <c r="E480" s="105" t="s">
        <v>46</v>
      </c>
      <c r="F480" s="106">
        <v>1</v>
      </c>
      <c r="G480" s="107">
        <f>Composição!H428</f>
        <v>67.13</v>
      </c>
      <c r="H480" s="45">
        <f t="shared" ref="H480:H494" si="54">TRUNC(G480*1.1903,2)</f>
        <v>79.900000000000006</v>
      </c>
      <c r="I480" s="45">
        <f t="shared" ref="I480:I494" si="55">TRUNC(F480*H480,2)</f>
        <v>79.900000000000006</v>
      </c>
    </row>
    <row r="481" spans="1:9" ht="24" x14ac:dyDescent="0.25">
      <c r="A481" s="45" t="s">
        <v>849</v>
      </c>
      <c r="B481" s="61" t="s">
        <v>850</v>
      </c>
      <c r="C481" s="82" t="s">
        <v>42</v>
      </c>
      <c r="D481" s="97" t="s">
        <v>851</v>
      </c>
      <c r="E481" s="105" t="s">
        <v>46</v>
      </c>
      <c r="F481" s="106">
        <v>1</v>
      </c>
      <c r="G481" s="107">
        <f>Composição!H434</f>
        <v>40.040000000000006</v>
      </c>
      <c r="H481" s="45">
        <f t="shared" si="54"/>
        <v>47.65</v>
      </c>
      <c r="I481" s="45">
        <f t="shared" si="55"/>
        <v>47.65</v>
      </c>
    </row>
    <row r="482" spans="1:9" ht="24" x14ac:dyDescent="0.25">
      <c r="A482" s="45" t="s">
        <v>852</v>
      </c>
      <c r="B482" s="61" t="s">
        <v>853</v>
      </c>
      <c r="C482" s="82" t="s">
        <v>42</v>
      </c>
      <c r="D482" s="97" t="s">
        <v>854</v>
      </c>
      <c r="E482" s="105" t="s">
        <v>46</v>
      </c>
      <c r="F482" s="106">
        <v>12</v>
      </c>
      <c r="G482" s="107">
        <f>Composição!H440</f>
        <v>38.840000000000003</v>
      </c>
      <c r="H482" s="45">
        <f t="shared" si="54"/>
        <v>46.23</v>
      </c>
      <c r="I482" s="45">
        <f t="shared" si="55"/>
        <v>554.76</v>
      </c>
    </row>
    <row r="483" spans="1:9" ht="24" x14ac:dyDescent="0.25">
      <c r="A483" s="45" t="s">
        <v>855</v>
      </c>
      <c r="B483" s="61" t="s">
        <v>856</v>
      </c>
      <c r="C483" s="82" t="s">
        <v>42</v>
      </c>
      <c r="D483" s="97" t="s">
        <v>857</v>
      </c>
      <c r="E483" s="105" t="s">
        <v>46</v>
      </c>
      <c r="F483" s="106">
        <v>2</v>
      </c>
      <c r="G483" s="107">
        <f>Composição!H447</f>
        <v>44.64</v>
      </c>
      <c r="H483" s="45">
        <f t="shared" si="54"/>
        <v>53.13</v>
      </c>
      <c r="I483" s="45">
        <f t="shared" si="55"/>
        <v>106.26</v>
      </c>
    </row>
    <row r="484" spans="1:9" ht="24" x14ac:dyDescent="0.25">
      <c r="A484" s="45" t="s">
        <v>858</v>
      </c>
      <c r="B484" s="61" t="s">
        <v>859</v>
      </c>
      <c r="C484" s="82" t="s">
        <v>42</v>
      </c>
      <c r="D484" s="97" t="s">
        <v>860</v>
      </c>
      <c r="E484" s="105" t="s">
        <v>46</v>
      </c>
      <c r="F484" s="106">
        <v>2</v>
      </c>
      <c r="G484" s="107">
        <f>Composição!H453</f>
        <v>47.8</v>
      </c>
      <c r="H484" s="45">
        <f t="shared" si="54"/>
        <v>56.89</v>
      </c>
      <c r="I484" s="45">
        <f t="shared" si="55"/>
        <v>113.78</v>
      </c>
    </row>
    <row r="485" spans="1:9" ht="24" x14ac:dyDescent="0.25">
      <c r="A485" s="45" t="s">
        <v>861</v>
      </c>
      <c r="B485" s="61" t="s">
        <v>862</v>
      </c>
      <c r="C485" s="82" t="s">
        <v>42</v>
      </c>
      <c r="D485" s="97" t="s">
        <v>863</v>
      </c>
      <c r="E485" s="105" t="s">
        <v>60</v>
      </c>
      <c r="F485" s="106">
        <v>210</v>
      </c>
      <c r="G485" s="107">
        <f>Composição!H459</f>
        <v>39.269999999999996</v>
      </c>
      <c r="H485" s="45">
        <f t="shared" si="54"/>
        <v>46.74</v>
      </c>
      <c r="I485" s="45">
        <f t="shared" si="55"/>
        <v>9815.4</v>
      </c>
    </row>
    <row r="486" spans="1:9" ht="24" x14ac:dyDescent="0.25">
      <c r="A486" s="45" t="s">
        <v>864</v>
      </c>
      <c r="B486" s="61" t="s">
        <v>865</v>
      </c>
      <c r="C486" s="82" t="s">
        <v>42</v>
      </c>
      <c r="D486" s="97" t="s">
        <v>866</v>
      </c>
      <c r="E486" s="105" t="s">
        <v>46</v>
      </c>
      <c r="F486" s="106">
        <v>100</v>
      </c>
      <c r="G486" s="107">
        <f>Composição!H465</f>
        <v>5.9734999999999996</v>
      </c>
      <c r="H486" s="45">
        <f t="shared" si="54"/>
        <v>7.11</v>
      </c>
      <c r="I486" s="45">
        <f t="shared" si="55"/>
        <v>711</v>
      </c>
    </row>
    <row r="487" spans="1:9" ht="24" x14ac:dyDescent="0.25">
      <c r="A487" s="45" t="s">
        <v>867</v>
      </c>
      <c r="B487" s="61" t="s">
        <v>868</v>
      </c>
      <c r="C487" s="82" t="s">
        <v>42</v>
      </c>
      <c r="D487" s="97" t="s">
        <v>869</v>
      </c>
      <c r="E487" s="105" t="s">
        <v>46</v>
      </c>
      <c r="F487" s="106">
        <v>70</v>
      </c>
      <c r="G487" s="107">
        <f>Composição!H471</f>
        <v>26.61</v>
      </c>
      <c r="H487" s="45">
        <f t="shared" si="54"/>
        <v>31.67</v>
      </c>
      <c r="I487" s="45">
        <f t="shared" si="55"/>
        <v>2216.9</v>
      </c>
    </row>
    <row r="488" spans="1:9" ht="24" x14ac:dyDescent="0.25">
      <c r="A488" s="45" t="s">
        <v>870</v>
      </c>
      <c r="B488" s="61" t="s">
        <v>871</v>
      </c>
      <c r="C488" s="82" t="s">
        <v>42</v>
      </c>
      <c r="D488" s="97" t="s">
        <v>872</v>
      </c>
      <c r="E488" s="105" t="s">
        <v>46</v>
      </c>
      <c r="F488" s="106">
        <v>210</v>
      </c>
      <c r="G488" s="107">
        <f>Composição!H477</f>
        <v>18.703499999999998</v>
      </c>
      <c r="H488" s="45">
        <f t="shared" si="54"/>
        <v>22.26</v>
      </c>
      <c r="I488" s="45">
        <f t="shared" si="55"/>
        <v>4674.6000000000004</v>
      </c>
    </row>
    <row r="489" spans="1:9" ht="24" x14ac:dyDescent="0.25">
      <c r="A489" s="45" t="s">
        <v>873</v>
      </c>
      <c r="B489" s="61" t="s">
        <v>874</v>
      </c>
      <c r="C489" s="82" t="s">
        <v>42</v>
      </c>
      <c r="D489" s="97" t="s">
        <v>875</v>
      </c>
      <c r="E489" s="105" t="s">
        <v>46</v>
      </c>
      <c r="F489" s="106">
        <v>7</v>
      </c>
      <c r="G489" s="107">
        <f>Composição!H483</f>
        <v>59.489999999999995</v>
      </c>
      <c r="H489" s="45">
        <f t="shared" si="54"/>
        <v>70.81</v>
      </c>
      <c r="I489" s="45">
        <f t="shared" si="55"/>
        <v>495.67</v>
      </c>
    </row>
    <row r="490" spans="1:9" ht="24" x14ac:dyDescent="0.25">
      <c r="A490" s="45" t="s">
        <v>876</v>
      </c>
      <c r="B490" s="61" t="s">
        <v>877</v>
      </c>
      <c r="C490" s="82" t="s">
        <v>42</v>
      </c>
      <c r="D490" s="97" t="s">
        <v>878</v>
      </c>
      <c r="E490" s="105" t="s">
        <v>46</v>
      </c>
      <c r="F490" s="106">
        <v>7</v>
      </c>
      <c r="G490" s="107">
        <f>Composição!H489</f>
        <v>54.2</v>
      </c>
      <c r="H490" s="45">
        <f t="shared" si="54"/>
        <v>64.510000000000005</v>
      </c>
      <c r="I490" s="45">
        <f t="shared" si="55"/>
        <v>451.57</v>
      </c>
    </row>
    <row r="491" spans="1:9" ht="24" x14ac:dyDescent="0.25">
      <c r="A491" s="45" t="s">
        <v>879</v>
      </c>
      <c r="B491" s="61" t="s">
        <v>880</v>
      </c>
      <c r="C491" s="82" t="s">
        <v>42</v>
      </c>
      <c r="D491" s="97" t="s">
        <v>881</v>
      </c>
      <c r="E491" s="105" t="s">
        <v>46</v>
      </c>
      <c r="F491" s="106">
        <v>6</v>
      </c>
      <c r="G491" s="107">
        <f>Composição!H495</f>
        <v>7.6349999999999998</v>
      </c>
      <c r="H491" s="45">
        <f t="shared" si="54"/>
        <v>9.08</v>
      </c>
      <c r="I491" s="45">
        <f t="shared" si="55"/>
        <v>54.48</v>
      </c>
    </row>
    <row r="492" spans="1:9" ht="24" x14ac:dyDescent="0.25">
      <c r="A492" s="45" t="s">
        <v>882</v>
      </c>
      <c r="B492" s="61" t="s">
        <v>883</v>
      </c>
      <c r="C492" s="82" t="s">
        <v>42</v>
      </c>
      <c r="D492" s="97" t="s">
        <v>884</v>
      </c>
      <c r="E492" s="105" t="s">
        <v>46</v>
      </c>
      <c r="F492" s="106">
        <v>11</v>
      </c>
      <c r="G492" s="107">
        <f>Composição!H501</f>
        <v>5.6349999999999998</v>
      </c>
      <c r="H492" s="45">
        <f t="shared" si="54"/>
        <v>6.7</v>
      </c>
      <c r="I492" s="45">
        <f t="shared" si="55"/>
        <v>73.7</v>
      </c>
    </row>
    <row r="493" spans="1:9" ht="24" x14ac:dyDescent="0.25">
      <c r="A493" s="45" t="s">
        <v>885</v>
      </c>
      <c r="B493" s="61" t="s">
        <v>886</v>
      </c>
      <c r="C493" s="82" t="s">
        <v>42</v>
      </c>
      <c r="D493" s="97" t="s">
        <v>887</v>
      </c>
      <c r="E493" s="105" t="s">
        <v>46</v>
      </c>
      <c r="F493" s="106">
        <v>450</v>
      </c>
      <c r="G493" s="107">
        <f>Composição!H510</f>
        <v>2.0870000000000002</v>
      </c>
      <c r="H493" s="45">
        <f t="shared" si="54"/>
        <v>2.48</v>
      </c>
      <c r="I493" s="45">
        <f t="shared" si="55"/>
        <v>1116</v>
      </c>
    </row>
    <row r="494" spans="1:9" ht="24" x14ac:dyDescent="0.25">
      <c r="A494" s="45" t="s">
        <v>888</v>
      </c>
      <c r="B494" s="61" t="s">
        <v>889</v>
      </c>
      <c r="C494" s="82" t="s">
        <v>42</v>
      </c>
      <c r="D494" s="97" t="s">
        <v>890</v>
      </c>
      <c r="E494" s="105" t="s">
        <v>46</v>
      </c>
      <c r="F494" s="106">
        <v>80</v>
      </c>
      <c r="G494" s="107">
        <f>Composição!H516</f>
        <v>5.9490000000000007</v>
      </c>
      <c r="H494" s="45">
        <f t="shared" si="54"/>
        <v>7.08</v>
      </c>
      <c r="I494" s="45">
        <f t="shared" si="55"/>
        <v>566.4</v>
      </c>
    </row>
    <row r="495" spans="1:9" x14ac:dyDescent="0.25">
      <c r="A495" s="45"/>
      <c r="B495" s="82"/>
      <c r="C495" s="82"/>
      <c r="D495" s="101" t="s">
        <v>891</v>
      </c>
      <c r="E495" s="110"/>
      <c r="F495" s="111"/>
      <c r="G495" s="110"/>
      <c r="H495" s="112"/>
      <c r="I495" s="107"/>
    </row>
    <row r="496" spans="1:9" x14ac:dyDescent="0.25">
      <c r="A496" s="45" t="s">
        <v>892</v>
      </c>
      <c r="B496" s="82" t="s">
        <v>893</v>
      </c>
      <c r="C496" s="82" t="s">
        <v>42</v>
      </c>
      <c r="D496" s="113" t="s">
        <v>894</v>
      </c>
      <c r="E496" s="105" t="s">
        <v>46</v>
      </c>
      <c r="F496" s="106">
        <v>2</v>
      </c>
      <c r="G496" s="107">
        <f>Composição!H613</f>
        <v>257.5279223</v>
      </c>
      <c r="H496" s="45">
        <f>TRUNC(G496*1.1903,2)</f>
        <v>306.52999999999997</v>
      </c>
      <c r="I496" s="45">
        <f>TRUNC(F496*H496,2)</f>
        <v>613.05999999999995</v>
      </c>
    </row>
    <row r="497" spans="1:9" ht="36" x14ac:dyDescent="0.25">
      <c r="A497" s="45" t="s">
        <v>895</v>
      </c>
      <c r="B497" s="61" t="s">
        <v>896</v>
      </c>
      <c r="C497" s="82" t="s">
        <v>42</v>
      </c>
      <c r="D497" s="97" t="s">
        <v>897</v>
      </c>
      <c r="E497" s="105" t="s">
        <v>46</v>
      </c>
      <c r="F497" s="106">
        <v>9</v>
      </c>
      <c r="G497" s="107">
        <f>Composição!H400</f>
        <v>69.717500000000001</v>
      </c>
      <c r="H497" s="45">
        <f>TRUNC(G497*1.1903,2)</f>
        <v>82.98</v>
      </c>
      <c r="I497" s="45">
        <f>TRUNC(F497*H497,2)</f>
        <v>746.82</v>
      </c>
    </row>
    <row r="498" spans="1:9" x14ac:dyDescent="0.25">
      <c r="A498" s="45"/>
      <c r="B498" s="82"/>
      <c r="C498" s="82"/>
      <c r="D498" s="101" t="s">
        <v>898</v>
      </c>
      <c r="E498" s="105"/>
      <c r="F498" s="106"/>
      <c r="G498" s="107"/>
      <c r="H498" s="108"/>
      <c r="I498" s="45"/>
    </row>
    <row r="499" spans="1:9" ht="24" x14ac:dyDescent="0.25">
      <c r="A499" s="45" t="s">
        <v>899</v>
      </c>
      <c r="B499" s="82">
        <v>91929</v>
      </c>
      <c r="C499" s="82" t="s">
        <v>25</v>
      </c>
      <c r="D499" s="97" t="s">
        <v>900</v>
      </c>
      <c r="E499" s="105" t="s">
        <v>60</v>
      </c>
      <c r="F499" s="106">
        <v>9</v>
      </c>
      <c r="G499" s="107">
        <v>4.87</v>
      </c>
      <c r="H499" s="45">
        <f t="shared" ref="H499:H506" si="56">TRUNC(G499*1.1903,2)</f>
        <v>5.79</v>
      </c>
      <c r="I499" s="45">
        <f t="shared" ref="I499:I506" si="57">TRUNC(F499*H499,2)</f>
        <v>52.11</v>
      </c>
    </row>
    <row r="500" spans="1:9" ht="24" x14ac:dyDescent="0.25">
      <c r="A500" s="114" t="s">
        <v>901</v>
      </c>
      <c r="B500" s="82" t="s">
        <v>902</v>
      </c>
      <c r="C500" s="82" t="s">
        <v>42</v>
      </c>
      <c r="D500" s="97" t="s">
        <v>903</v>
      </c>
      <c r="E500" s="105" t="s">
        <v>46</v>
      </c>
      <c r="F500" s="106">
        <v>2</v>
      </c>
      <c r="G500" s="107">
        <f>Composição!H537</f>
        <v>1201.1514999999999</v>
      </c>
      <c r="H500" s="45">
        <f t="shared" si="56"/>
        <v>1429.73</v>
      </c>
      <c r="I500" s="45">
        <f t="shared" si="57"/>
        <v>2859.46</v>
      </c>
    </row>
    <row r="501" spans="1:9" ht="24" x14ac:dyDescent="0.25">
      <c r="A501" s="45" t="s">
        <v>904</v>
      </c>
      <c r="B501" s="82">
        <v>93661</v>
      </c>
      <c r="C501" s="82" t="s">
        <v>25</v>
      </c>
      <c r="D501" s="97" t="s">
        <v>905</v>
      </c>
      <c r="E501" s="105" t="s">
        <v>46</v>
      </c>
      <c r="F501" s="106">
        <v>2</v>
      </c>
      <c r="G501" s="107">
        <v>46.44</v>
      </c>
      <c r="H501" s="45">
        <f t="shared" si="56"/>
        <v>55.27</v>
      </c>
      <c r="I501" s="45">
        <f t="shared" si="57"/>
        <v>110.54</v>
      </c>
    </row>
    <row r="502" spans="1:9" ht="48" x14ac:dyDescent="0.25">
      <c r="A502" s="114" t="s">
        <v>906</v>
      </c>
      <c r="B502" s="61" t="s">
        <v>769</v>
      </c>
      <c r="C502" s="82" t="s">
        <v>42</v>
      </c>
      <c r="D502" s="97" t="s">
        <v>770</v>
      </c>
      <c r="E502" s="105" t="s">
        <v>46</v>
      </c>
      <c r="F502" s="106">
        <v>72</v>
      </c>
      <c r="G502" s="107">
        <f>Composição!H529</f>
        <v>20.795000000000002</v>
      </c>
      <c r="H502" s="45">
        <f t="shared" si="56"/>
        <v>24.75</v>
      </c>
      <c r="I502" s="45">
        <f t="shared" si="57"/>
        <v>1782</v>
      </c>
    </row>
    <row r="503" spans="1:9" ht="36" x14ac:dyDescent="0.25">
      <c r="A503" s="45" t="s">
        <v>907</v>
      </c>
      <c r="B503" s="82">
        <v>95750</v>
      </c>
      <c r="C503" s="82" t="s">
        <v>25</v>
      </c>
      <c r="D503" s="97" t="s">
        <v>761</v>
      </c>
      <c r="E503" s="105" t="s">
        <v>60</v>
      </c>
      <c r="F503" s="106">
        <v>22</v>
      </c>
      <c r="G503" s="107">
        <v>25.67</v>
      </c>
      <c r="H503" s="45">
        <f t="shared" si="56"/>
        <v>30.55</v>
      </c>
      <c r="I503" s="45">
        <f t="shared" si="57"/>
        <v>672.1</v>
      </c>
    </row>
    <row r="504" spans="1:9" x14ac:dyDescent="0.25">
      <c r="A504" s="114" t="s">
        <v>908</v>
      </c>
      <c r="B504" s="82" t="s">
        <v>909</v>
      </c>
      <c r="C504" s="82" t="s">
        <v>42</v>
      </c>
      <c r="D504" s="97" t="s">
        <v>910</v>
      </c>
      <c r="E504" s="105" t="s">
        <v>46</v>
      </c>
      <c r="F504" s="106">
        <v>8</v>
      </c>
      <c r="G504" s="107">
        <f>Composição!H544</f>
        <v>258.43</v>
      </c>
      <c r="H504" s="45">
        <f t="shared" si="56"/>
        <v>307.60000000000002</v>
      </c>
      <c r="I504" s="45">
        <f t="shared" si="57"/>
        <v>2460.8000000000002</v>
      </c>
    </row>
    <row r="505" spans="1:9" x14ac:dyDescent="0.25">
      <c r="A505" s="45" t="s">
        <v>911</v>
      </c>
      <c r="B505" s="82" t="s">
        <v>893</v>
      </c>
      <c r="C505" s="82" t="s">
        <v>42</v>
      </c>
      <c r="D505" s="113" t="s">
        <v>894</v>
      </c>
      <c r="E505" s="105" t="s">
        <v>46</v>
      </c>
      <c r="F505" s="106">
        <v>5</v>
      </c>
      <c r="G505" s="107">
        <f>Composição!H613</f>
        <v>257.5279223</v>
      </c>
      <c r="H505" s="45">
        <f t="shared" si="56"/>
        <v>306.52999999999997</v>
      </c>
      <c r="I505" s="45">
        <f t="shared" si="57"/>
        <v>1532.65</v>
      </c>
    </row>
    <row r="506" spans="1:9" ht="24" x14ac:dyDescent="0.25">
      <c r="A506" s="114" t="s">
        <v>912</v>
      </c>
      <c r="B506" s="61" t="s">
        <v>913</v>
      </c>
      <c r="C506" s="82" t="s">
        <v>42</v>
      </c>
      <c r="D506" s="97" t="s">
        <v>914</v>
      </c>
      <c r="E506" s="105" t="s">
        <v>46</v>
      </c>
      <c r="F506" s="106">
        <v>2</v>
      </c>
      <c r="G506" s="107">
        <f>Composição!H551</f>
        <v>168.70499999999998</v>
      </c>
      <c r="H506" s="45">
        <f t="shared" si="56"/>
        <v>200.8</v>
      </c>
      <c r="I506" s="45">
        <f t="shared" si="57"/>
        <v>401.6</v>
      </c>
    </row>
    <row r="507" spans="1:9" x14ac:dyDescent="0.25">
      <c r="A507" s="45"/>
      <c r="B507" s="82"/>
      <c r="C507" s="82"/>
      <c r="D507" s="101" t="s">
        <v>915</v>
      </c>
      <c r="E507" s="105"/>
      <c r="F507" s="106"/>
      <c r="G507" s="107"/>
      <c r="H507" s="108"/>
      <c r="I507" s="45"/>
    </row>
    <row r="508" spans="1:9" ht="24" x14ac:dyDescent="0.25">
      <c r="A508" s="114">
        <v>16101</v>
      </c>
      <c r="B508" s="82">
        <v>91929</v>
      </c>
      <c r="C508" s="82" t="s">
        <v>25</v>
      </c>
      <c r="D508" s="97" t="s">
        <v>900</v>
      </c>
      <c r="E508" s="105" t="s">
        <v>60</v>
      </c>
      <c r="F508" s="106">
        <v>500</v>
      </c>
      <c r="G508" s="107">
        <v>4.87</v>
      </c>
      <c r="H508" s="45">
        <f t="shared" ref="H508:H529" si="58">TRUNC(G508*1.1903,2)</f>
        <v>5.79</v>
      </c>
      <c r="I508" s="45">
        <f t="shared" ref="I508:I529" si="59">TRUNC(F508*H508,2)</f>
        <v>2895</v>
      </c>
    </row>
    <row r="509" spans="1:9" ht="24" x14ac:dyDescent="0.25">
      <c r="A509" s="114">
        <v>16102</v>
      </c>
      <c r="B509" s="82">
        <v>91931</v>
      </c>
      <c r="C509" s="82" t="s">
        <v>25</v>
      </c>
      <c r="D509" s="97" t="s">
        <v>916</v>
      </c>
      <c r="E509" s="105" t="s">
        <v>60</v>
      </c>
      <c r="F509" s="106">
        <v>330</v>
      </c>
      <c r="G509" s="107">
        <v>6.54</v>
      </c>
      <c r="H509" s="45">
        <f t="shared" si="58"/>
        <v>7.78</v>
      </c>
      <c r="I509" s="45">
        <f t="shared" si="59"/>
        <v>2567.4</v>
      </c>
    </row>
    <row r="510" spans="1:9" ht="24" x14ac:dyDescent="0.25">
      <c r="A510" s="114">
        <v>16103</v>
      </c>
      <c r="B510" s="82">
        <v>93653</v>
      </c>
      <c r="C510" s="82" t="s">
        <v>25</v>
      </c>
      <c r="D510" s="97" t="s">
        <v>917</v>
      </c>
      <c r="E510" s="105" t="s">
        <v>46</v>
      </c>
      <c r="F510" s="106">
        <v>2</v>
      </c>
      <c r="G510" s="107">
        <v>9.1199999999999992</v>
      </c>
      <c r="H510" s="45">
        <f t="shared" si="58"/>
        <v>10.85</v>
      </c>
      <c r="I510" s="45">
        <f t="shared" si="59"/>
        <v>21.7</v>
      </c>
    </row>
    <row r="511" spans="1:9" ht="24" x14ac:dyDescent="0.25">
      <c r="A511" s="114">
        <v>16104</v>
      </c>
      <c r="B511" s="82">
        <v>93661</v>
      </c>
      <c r="C511" s="82" t="s">
        <v>25</v>
      </c>
      <c r="D511" s="97" t="s">
        <v>905</v>
      </c>
      <c r="E511" s="105" t="s">
        <v>46</v>
      </c>
      <c r="F511" s="106">
        <v>2</v>
      </c>
      <c r="G511" s="107">
        <v>46.44</v>
      </c>
      <c r="H511" s="45">
        <f t="shared" si="58"/>
        <v>55.27</v>
      </c>
      <c r="I511" s="45">
        <f t="shared" si="59"/>
        <v>110.54</v>
      </c>
    </row>
    <row r="512" spans="1:9" ht="24" x14ac:dyDescent="0.25">
      <c r="A512" s="114">
        <v>16105</v>
      </c>
      <c r="B512" s="82">
        <v>93662</v>
      </c>
      <c r="C512" s="82" t="s">
        <v>25</v>
      </c>
      <c r="D512" s="97" t="s">
        <v>918</v>
      </c>
      <c r="E512" s="105" t="s">
        <v>46</v>
      </c>
      <c r="F512" s="106">
        <v>1</v>
      </c>
      <c r="G512" s="107">
        <v>48.16</v>
      </c>
      <c r="H512" s="45">
        <f t="shared" si="58"/>
        <v>57.32</v>
      </c>
      <c r="I512" s="45">
        <f t="shared" si="59"/>
        <v>57.32</v>
      </c>
    </row>
    <row r="513" spans="1:9" ht="24" x14ac:dyDescent="0.25">
      <c r="A513" s="114">
        <v>16106</v>
      </c>
      <c r="B513" s="82">
        <v>93663</v>
      </c>
      <c r="C513" s="82" t="s">
        <v>25</v>
      </c>
      <c r="D513" s="97" t="s">
        <v>919</v>
      </c>
      <c r="E513" s="105" t="s">
        <v>46</v>
      </c>
      <c r="F513" s="106">
        <v>1</v>
      </c>
      <c r="G513" s="107">
        <v>48.16</v>
      </c>
      <c r="H513" s="45">
        <f t="shared" si="58"/>
        <v>57.32</v>
      </c>
      <c r="I513" s="45">
        <f t="shared" si="59"/>
        <v>57.32</v>
      </c>
    </row>
    <row r="514" spans="1:9" ht="24" x14ac:dyDescent="0.25">
      <c r="A514" s="114">
        <v>16107</v>
      </c>
      <c r="B514" s="82">
        <v>93664</v>
      </c>
      <c r="C514" s="82" t="s">
        <v>25</v>
      </c>
      <c r="D514" s="97" t="s">
        <v>920</v>
      </c>
      <c r="E514" s="105" t="s">
        <v>46</v>
      </c>
      <c r="F514" s="106">
        <v>1</v>
      </c>
      <c r="G514" s="107">
        <v>50.26</v>
      </c>
      <c r="H514" s="45">
        <f t="shared" si="58"/>
        <v>59.82</v>
      </c>
      <c r="I514" s="45">
        <f t="shared" si="59"/>
        <v>59.82</v>
      </c>
    </row>
    <row r="515" spans="1:9" ht="24" x14ac:dyDescent="0.25">
      <c r="A515" s="114">
        <v>16108</v>
      </c>
      <c r="B515" s="82">
        <v>93665</v>
      </c>
      <c r="C515" s="82" t="s">
        <v>25</v>
      </c>
      <c r="D515" s="97" t="s">
        <v>921</v>
      </c>
      <c r="E515" s="105" t="s">
        <v>46</v>
      </c>
      <c r="F515" s="106">
        <v>1</v>
      </c>
      <c r="G515" s="107">
        <v>53.04</v>
      </c>
      <c r="H515" s="45">
        <f t="shared" si="58"/>
        <v>63.13</v>
      </c>
      <c r="I515" s="45">
        <f t="shared" si="59"/>
        <v>63.13</v>
      </c>
    </row>
    <row r="516" spans="1:9" ht="24" x14ac:dyDescent="0.25">
      <c r="A516" s="114">
        <v>16109</v>
      </c>
      <c r="B516" s="61" t="s">
        <v>728</v>
      </c>
      <c r="C516" s="82" t="s">
        <v>42</v>
      </c>
      <c r="D516" s="97" t="s">
        <v>922</v>
      </c>
      <c r="E516" s="105" t="s">
        <v>46</v>
      </c>
      <c r="F516" s="106">
        <v>1</v>
      </c>
      <c r="G516" s="107">
        <f>Composição!H336</f>
        <v>161.00479999999999</v>
      </c>
      <c r="H516" s="45">
        <f t="shared" si="58"/>
        <v>191.64</v>
      </c>
      <c r="I516" s="45">
        <f t="shared" si="59"/>
        <v>191.64</v>
      </c>
    </row>
    <row r="517" spans="1:9" ht="36" x14ac:dyDescent="0.25">
      <c r="A517" s="114">
        <v>16110</v>
      </c>
      <c r="B517" s="61" t="s">
        <v>734</v>
      </c>
      <c r="C517" s="82" t="s">
        <v>42</v>
      </c>
      <c r="D517" s="97" t="s">
        <v>735</v>
      </c>
      <c r="E517" s="105" t="s">
        <v>46</v>
      </c>
      <c r="F517" s="106">
        <v>7</v>
      </c>
      <c r="G517" s="107">
        <f>Composição!H348</f>
        <v>266.01914999999997</v>
      </c>
      <c r="H517" s="45">
        <f t="shared" si="58"/>
        <v>316.64</v>
      </c>
      <c r="I517" s="45">
        <f t="shared" si="59"/>
        <v>2216.48</v>
      </c>
    </row>
    <row r="518" spans="1:9" ht="48" x14ac:dyDescent="0.25">
      <c r="A518" s="114">
        <v>16111</v>
      </c>
      <c r="B518" s="61" t="s">
        <v>923</v>
      </c>
      <c r="C518" s="82" t="s">
        <v>42</v>
      </c>
      <c r="D518" s="97" t="s">
        <v>924</v>
      </c>
      <c r="E518" s="105" t="s">
        <v>925</v>
      </c>
      <c r="F518" s="106">
        <v>85</v>
      </c>
      <c r="G518" s="107">
        <f>Composição!H557</f>
        <v>21.105</v>
      </c>
      <c r="H518" s="45">
        <f t="shared" si="58"/>
        <v>25.12</v>
      </c>
      <c r="I518" s="45">
        <f t="shared" si="59"/>
        <v>2135.1999999999998</v>
      </c>
    </row>
    <row r="519" spans="1:9" ht="48" x14ac:dyDescent="0.25">
      <c r="A519" s="114">
        <v>16112</v>
      </c>
      <c r="B519" s="61" t="s">
        <v>769</v>
      </c>
      <c r="C519" s="82" t="s">
        <v>42</v>
      </c>
      <c r="D519" s="97" t="s">
        <v>770</v>
      </c>
      <c r="E519" s="105" t="s">
        <v>60</v>
      </c>
      <c r="F519" s="106">
        <v>7</v>
      </c>
      <c r="G519" s="107">
        <f>Composição!H529</f>
        <v>20.795000000000002</v>
      </c>
      <c r="H519" s="45">
        <f t="shared" si="58"/>
        <v>24.75</v>
      </c>
      <c r="I519" s="45">
        <f t="shared" si="59"/>
        <v>173.25</v>
      </c>
    </row>
    <row r="520" spans="1:9" ht="36" x14ac:dyDescent="0.25">
      <c r="A520" s="114">
        <v>16113</v>
      </c>
      <c r="B520" s="82">
        <v>95750</v>
      </c>
      <c r="C520" s="82" t="s">
        <v>25</v>
      </c>
      <c r="D520" s="97" t="s">
        <v>761</v>
      </c>
      <c r="E520" s="105" t="s">
        <v>60</v>
      </c>
      <c r="F520" s="106">
        <v>44</v>
      </c>
      <c r="G520" s="107">
        <v>25.67</v>
      </c>
      <c r="H520" s="45">
        <f t="shared" si="58"/>
        <v>30.55</v>
      </c>
      <c r="I520" s="45">
        <f t="shared" si="59"/>
        <v>1344.2</v>
      </c>
    </row>
    <row r="521" spans="1:9" x14ac:dyDescent="0.25">
      <c r="A521" s="114">
        <v>16114</v>
      </c>
      <c r="B521" s="82" t="s">
        <v>909</v>
      </c>
      <c r="C521" s="82" t="s">
        <v>42</v>
      </c>
      <c r="D521" s="97" t="s">
        <v>910</v>
      </c>
      <c r="E521" s="105" t="s">
        <v>46</v>
      </c>
      <c r="F521" s="106">
        <v>12</v>
      </c>
      <c r="G521" s="107">
        <f>Composição!H544</f>
        <v>258.43</v>
      </c>
      <c r="H521" s="45">
        <f t="shared" si="58"/>
        <v>307.60000000000002</v>
      </c>
      <c r="I521" s="45">
        <f t="shared" si="59"/>
        <v>3691.2</v>
      </c>
    </row>
    <row r="522" spans="1:9" ht="36" x14ac:dyDescent="0.25">
      <c r="A522" s="114">
        <v>16115</v>
      </c>
      <c r="B522" s="61" t="s">
        <v>668</v>
      </c>
      <c r="C522" s="82" t="s">
        <v>42</v>
      </c>
      <c r="D522" s="97" t="s">
        <v>669</v>
      </c>
      <c r="E522" s="105" t="s">
        <v>46</v>
      </c>
      <c r="F522" s="106">
        <v>1</v>
      </c>
      <c r="G522" s="107">
        <f>Composição!H258</f>
        <v>386.10500000000002</v>
      </c>
      <c r="H522" s="45">
        <f t="shared" si="58"/>
        <v>459.58</v>
      </c>
      <c r="I522" s="45">
        <f t="shared" si="59"/>
        <v>459.58</v>
      </c>
    </row>
    <row r="523" spans="1:9" ht="48" x14ac:dyDescent="0.25">
      <c r="A523" s="114">
        <v>16116</v>
      </c>
      <c r="B523" s="82">
        <v>83463</v>
      </c>
      <c r="C523" s="82" t="s">
        <v>25</v>
      </c>
      <c r="D523" s="97" t="s">
        <v>926</v>
      </c>
      <c r="E523" s="105" t="s">
        <v>46</v>
      </c>
      <c r="F523" s="106">
        <v>1</v>
      </c>
      <c r="G523" s="107">
        <v>284.25</v>
      </c>
      <c r="H523" s="45">
        <f t="shared" si="58"/>
        <v>338.34</v>
      </c>
      <c r="I523" s="45">
        <f t="shared" si="59"/>
        <v>338.34</v>
      </c>
    </row>
    <row r="524" spans="1:9" x14ac:dyDescent="0.25">
      <c r="A524" s="114">
        <v>16117</v>
      </c>
      <c r="B524" s="82" t="s">
        <v>893</v>
      </c>
      <c r="C524" s="82" t="s">
        <v>42</v>
      </c>
      <c r="D524" s="113" t="s">
        <v>894</v>
      </c>
      <c r="E524" s="105" t="s">
        <v>46</v>
      </c>
      <c r="F524" s="106">
        <v>8</v>
      </c>
      <c r="G524" s="107">
        <f>Composição!H613</f>
        <v>257.5279223</v>
      </c>
      <c r="H524" s="45">
        <f t="shared" si="58"/>
        <v>306.52999999999997</v>
      </c>
      <c r="I524" s="45">
        <f t="shared" si="59"/>
        <v>2452.2399999999998</v>
      </c>
    </row>
    <row r="525" spans="1:9" ht="24" x14ac:dyDescent="0.25">
      <c r="A525" s="114">
        <v>16118</v>
      </c>
      <c r="B525" s="82">
        <v>91926</v>
      </c>
      <c r="C525" s="82" t="s">
        <v>25</v>
      </c>
      <c r="D525" s="97" t="s">
        <v>738</v>
      </c>
      <c r="E525" s="105" t="s">
        <v>60</v>
      </c>
      <c r="F525" s="106">
        <v>126</v>
      </c>
      <c r="G525" s="107">
        <v>2.71</v>
      </c>
      <c r="H525" s="45">
        <f t="shared" si="58"/>
        <v>3.22</v>
      </c>
      <c r="I525" s="45">
        <f t="shared" si="59"/>
        <v>405.72</v>
      </c>
    </row>
    <row r="526" spans="1:9" ht="36" x14ac:dyDescent="0.25">
      <c r="A526" s="114">
        <v>16119</v>
      </c>
      <c r="B526" s="82">
        <v>91834</v>
      </c>
      <c r="C526" s="82" t="s">
        <v>25</v>
      </c>
      <c r="D526" s="97" t="s">
        <v>927</v>
      </c>
      <c r="E526" s="105" t="s">
        <v>60</v>
      </c>
      <c r="F526" s="106">
        <v>27</v>
      </c>
      <c r="G526" s="107">
        <v>6.15</v>
      </c>
      <c r="H526" s="45">
        <f t="shared" si="58"/>
        <v>7.32</v>
      </c>
      <c r="I526" s="45">
        <f t="shared" si="59"/>
        <v>197.64</v>
      </c>
    </row>
    <row r="527" spans="1:9" ht="24" x14ac:dyDescent="0.25">
      <c r="A527" s="114">
        <v>16120</v>
      </c>
      <c r="B527" s="82" t="s">
        <v>902</v>
      </c>
      <c r="C527" s="82" t="s">
        <v>42</v>
      </c>
      <c r="D527" s="97" t="s">
        <v>928</v>
      </c>
      <c r="E527" s="105" t="s">
        <v>46</v>
      </c>
      <c r="F527" s="106">
        <v>4</v>
      </c>
      <c r="G527" s="107">
        <f>Composição!H537</f>
        <v>1201.1514999999999</v>
      </c>
      <c r="H527" s="45">
        <f t="shared" si="58"/>
        <v>1429.73</v>
      </c>
      <c r="I527" s="45">
        <f t="shared" si="59"/>
        <v>5718.92</v>
      </c>
    </row>
    <row r="528" spans="1:9" ht="24" x14ac:dyDescent="0.25">
      <c r="A528" s="114">
        <v>16121</v>
      </c>
      <c r="B528" s="61" t="s">
        <v>833</v>
      </c>
      <c r="C528" s="82" t="s">
        <v>42</v>
      </c>
      <c r="D528" s="97" t="s">
        <v>834</v>
      </c>
      <c r="E528" s="105" t="s">
        <v>46</v>
      </c>
      <c r="F528" s="106">
        <v>5</v>
      </c>
      <c r="G528" s="107">
        <f>Composição!H414</f>
        <v>136.48000000000002</v>
      </c>
      <c r="H528" s="45">
        <f t="shared" si="58"/>
        <v>162.44999999999999</v>
      </c>
      <c r="I528" s="45">
        <f t="shared" si="59"/>
        <v>812.25</v>
      </c>
    </row>
    <row r="529" spans="1:9" ht="24" x14ac:dyDescent="0.25">
      <c r="A529" s="114">
        <v>16122</v>
      </c>
      <c r="B529" s="61" t="s">
        <v>913</v>
      </c>
      <c r="C529" s="82" t="s">
        <v>42</v>
      </c>
      <c r="D529" s="97" t="s">
        <v>914</v>
      </c>
      <c r="E529" s="105" t="s">
        <v>46</v>
      </c>
      <c r="F529" s="106">
        <v>4</v>
      </c>
      <c r="G529" s="107">
        <f>Composição!H551</f>
        <v>168.70499999999998</v>
      </c>
      <c r="H529" s="45">
        <f t="shared" si="58"/>
        <v>200.8</v>
      </c>
      <c r="I529" s="45">
        <f t="shared" si="59"/>
        <v>803.2</v>
      </c>
    </row>
    <row r="530" spans="1:9" x14ac:dyDescent="0.25">
      <c r="A530" s="46"/>
      <c r="B530" s="47"/>
      <c r="C530" s="48"/>
      <c r="D530" s="49" t="s">
        <v>929</v>
      </c>
      <c r="E530" s="50" t="s">
        <v>31</v>
      </c>
      <c r="F530" s="67"/>
      <c r="G530" s="52"/>
      <c r="H530" s="52"/>
      <c r="I530" s="53">
        <f>SUM(I400:I529)</f>
        <v>203867.87000000008</v>
      </c>
    </row>
    <row r="531" spans="1:9" x14ac:dyDescent="0.25">
      <c r="A531" s="54" t="s">
        <v>930</v>
      </c>
      <c r="B531" s="55"/>
      <c r="C531" s="83"/>
      <c r="D531" s="39" t="s">
        <v>898</v>
      </c>
      <c r="E531" s="83"/>
      <c r="F531" s="79"/>
      <c r="G531" s="57"/>
      <c r="H531" s="57"/>
      <c r="I531" s="57"/>
    </row>
    <row r="532" spans="1:9" x14ac:dyDescent="0.25">
      <c r="A532" s="41"/>
      <c r="B532" s="58"/>
      <c r="C532" s="84"/>
      <c r="D532" s="65" t="s">
        <v>931</v>
      </c>
      <c r="E532" s="84"/>
      <c r="F532" s="44"/>
      <c r="G532" s="45"/>
      <c r="H532" s="60"/>
      <c r="I532" s="60"/>
    </row>
    <row r="533" spans="1:9" x14ac:dyDescent="0.25">
      <c r="A533" s="41" t="s">
        <v>932</v>
      </c>
      <c r="B533" s="115">
        <v>93358</v>
      </c>
      <c r="C533" s="116" t="s">
        <v>25</v>
      </c>
      <c r="D533" s="80" t="s">
        <v>933</v>
      </c>
      <c r="E533" s="61" t="s">
        <v>37</v>
      </c>
      <c r="F533" s="44">
        <v>6.75</v>
      </c>
      <c r="G533" s="45">
        <v>64.989999999999995</v>
      </c>
      <c r="H533" s="45">
        <f t="shared" ref="H533:H551" si="60">TRUNC(G533*1.1903,2)</f>
        <v>77.349999999999994</v>
      </c>
      <c r="I533" s="45">
        <f t="shared" ref="I533:I551" si="61">TRUNC(F533*H533,2)</f>
        <v>522.11</v>
      </c>
    </row>
    <row r="534" spans="1:9" x14ac:dyDescent="0.25">
      <c r="A534" s="41" t="s">
        <v>934</v>
      </c>
      <c r="B534" s="115">
        <v>93358</v>
      </c>
      <c r="C534" s="116" t="s">
        <v>25</v>
      </c>
      <c r="D534" s="80" t="s">
        <v>935</v>
      </c>
      <c r="E534" s="61" t="s">
        <v>37</v>
      </c>
      <c r="F534" s="44">
        <v>0.94</v>
      </c>
      <c r="G534" s="45">
        <v>64.989999999999995</v>
      </c>
      <c r="H534" s="45">
        <f t="shared" si="60"/>
        <v>77.349999999999994</v>
      </c>
      <c r="I534" s="45">
        <f t="shared" si="61"/>
        <v>72.7</v>
      </c>
    </row>
    <row r="535" spans="1:9" x14ac:dyDescent="0.25">
      <c r="A535" s="41" t="s">
        <v>936</v>
      </c>
      <c r="B535" s="115">
        <v>93358</v>
      </c>
      <c r="C535" s="116" t="s">
        <v>25</v>
      </c>
      <c r="D535" s="80" t="s">
        <v>937</v>
      </c>
      <c r="E535" s="61" t="s">
        <v>37</v>
      </c>
      <c r="F535" s="44">
        <v>10.39</v>
      </c>
      <c r="G535" s="45">
        <v>64.989999999999995</v>
      </c>
      <c r="H535" s="45">
        <f t="shared" si="60"/>
        <v>77.349999999999994</v>
      </c>
      <c r="I535" s="45">
        <f t="shared" si="61"/>
        <v>803.66</v>
      </c>
    </row>
    <row r="536" spans="1:9" ht="24" x14ac:dyDescent="0.25">
      <c r="A536" s="41" t="s">
        <v>938</v>
      </c>
      <c r="B536" s="115">
        <v>79480</v>
      </c>
      <c r="C536" s="116" t="s">
        <v>25</v>
      </c>
      <c r="D536" s="80" t="s">
        <v>939</v>
      </c>
      <c r="E536" s="61" t="s">
        <v>37</v>
      </c>
      <c r="F536" s="44">
        <v>45</v>
      </c>
      <c r="G536" s="45">
        <v>2.13</v>
      </c>
      <c r="H536" s="45">
        <f t="shared" si="60"/>
        <v>2.5299999999999998</v>
      </c>
      <c r="I536" s="45">
        <f t="shared" si="61"/>
        <v>113.85</v>
      </c>
    </row>
    <row r="537" spans="1:9" x14ac:dyDescent="0.25">
      <c r="A537" s="41" t="s">
        <v>940</v>
      </c>
      <c r="B537" s="115">
        <v>72897</v>
      </c>
      <c r="C537" s="116" t="s">
        <v>25</v>
      </c>
      <c r="D537" s="80" t="s">
        <v>941</v>
      </c>
      <c r="E537" s="61" t="s">
        <v>37</v>
      </c>
      <c r="F537" s="44">
        <f>(10.39+45+0.95+6.75)*1.3</f>
        <v>82.01700000000001</v>
      </c>
      <c r="G537" s="45">
        <v>19.27</v>
      </c>
      <c r="H537" s="45">
        <f t="shared" si="60"/>
        <v>22.93</v>
      </c>
      <c r="I537" s="45">
        <f t="shared" si="61"/>
        <v>1880.64</v>
      </c>
    </row>
    <row r="538" spans="1:9" ht="24" x14ac:dyDescent="0.25">
      <c r="A538" s="41" t="s">
        <v>942</v>
      </c>
      <c r="B538" s="117" t="s">
        <v>943</v>
      </c>
      <c r="C538" s="115" t="s">
        <v>25</v>
      </c>
      <c r="D538" s="103" t="s">
        <v>944</v>
      </c>
      <c r="E538" s="117" t="s">
        <v>37</v>
      </c>
      <c r="F538" s="44">
        <v>2.5</v>
      </c>
      <c r="G538" s="45">
        <v>83.38</v>
      </c>
      <c r="H538" s="45">
        <f t="shared" si="60"/>
        <v>99.24</v>
      </c>
      <c r="I538" s="45">
        <f t="shared" si="61"/>
        <v>248.1</v>
      </c>
    </row>
    <row r="539" spans="1:9" ht="24.75" x14ac:dyDescent="0.25">
      <c r="A539" s="41" t="s">
        <v>945</v>
      </c>
      <c r="B539" s="42">
        <v>96533</v>
      </c>
      <c r="C539" s="116" t="s">
        <v>25</v>
      </c>
      <c r="D539" s="118" t="s">
        <v>946</v>
      </c>
      <c r="E539" s="61" t="s">
        <v>27</v>
      </c>
      <c r="F539" s="44">
        <v>20</v>
      </c>
      <c r="G539" s="45">
        <v>59.86</v>
      </c>
      <c r="H539" s="45">
        <f t="shared" si="60"/>
        <v>71.25</v>
      </c>
      <c r="I539" s="45">
        <f t="shared" si="61"/>
        <v>1425</v>
      </c>
    </row>
    <row r="540" spans="1:9" ht="36" x14ac:dyDescent="0.25">
      <c r="A540" s="41" t="s">
        <v>947</v>
      </c>
      <c r="B540" s="115">
        <v>92775</v>
      </c>
      <c r="C540" s="115" t="s">
        <v>25</v>
      </c>
      <c r="D540" s="119" t="s">
        <v>948</v>
      </c>
      <c r="E540" s="115" t="s">
        <v>125</v>
      </c>
      <c r="F540" s="44">
        <v>24</v>
      </c>
      <c r="G540" s="45">
        <v>12.57</v>
      </c>
      <c r="H540" s="45">
        <f t="shared" si="60"/>
        <v>14.96</v>
      </c>
      <c r="I540" s="45">
        <f t="shared" si="61"/>
        <v>359.04</v>
      </c>
    </row>
    <row r="541" spans="1:9" ht="36" x14ac:dyDescent="0.25">
      <c r="A541" s="41" t="s">
        <v>949</v>
      </c>
      <c r="B541" s="115">
        <v>92777</v>
      </c>
      <c r="C541" s="115" t="s">
        <v>25</v>
      </c>
      <c r="D541" s="119" t="s">
        <v>950</v>
      </c>
      <c r="E541" s="115" t="s">
        <v>125</v>
      </c>
      <c r="F541" s="44">
        <v>89</v>
      </c>
      <c r="G541" s="45">
        <v>10.33</v>
      </c>
      <c r="H541" s="45">
        <f t="shared" si="60"/>
        <v>12.29</v>
      </c>
      <c r="I541" s="45">
        <f t="shared" si="61"/>
        <v>1093.81</v>
      </c>
    </row>
    <row r="542" spans="1:9" ht="24" x14ac:dyDescent="0.25">
      <c r="A542" s="41" t="s">
        <v>951</v>
      </c>
      <c r="B542" s="115">
        <v>94964</v>
      </c>
      <c r="C542" s="115" t="s">
        <v>25</v>
      </c>
      <c r="D542" s="119" t="s">
        <v>952</v>
      </c>
      <c r="E542" s="115" t="s">
        <v>37</v>
      </c>
      <c r="F542" s="44">
        <v>4</v>
      </c>
      <c r="G542" s="45">
        <v>331.19</v>
      </c>
      <c r="H542" s="45">
        <f t="shared" si="60"/>
        <v>394.21</v>
      </c>
      <c r="I542" s="45">
        <f t="shared" si="61"/>
        <v>1576.84</v>
      </c>
    </row>
    <row r="543" spans="1:9" ht="24" x14ac:dyDescent="0.25">
      <c r="A543" s="41" t="s">
        <v>953</v>
      </c>
      <c r="B543" s="115">
        <v>92873</v>
      </c>
      <c r="C543" s="115" t="s">
        <v>25</v>
      </c>
      <c r="D543" s="119" t="s">
        <v>139</v>
      </c>
      <c r="E543" s="115" t="s">
        <v>37</v>
      </c>
      <c r="F543" s="44">
        <v>4</v>
      </c>
      <c r="G543" s="45">
        <v>166.95</v>
      </c>
      <c r="H543" s="45">
        <f t="shared" si="60"/>
        <v>198.72</v>
      </c>
      <c r="I543" s="45">
        <f t="shared" si="61"/>
        <v>794.88</v>
      </c>
    </row>
    <row r="544" spans="1:9" ht="36" x14ac:dyDescent="0.25">
      <c r="A544" s="41" t="s">
        <v>954</v>
      </c>
      <c r="B544" s="42">
        <v>98228</v>
      </c>
      <c r="C544" s="115" t="s">
        <v>25</v>
      </c>
      <c r="D544" s="113" t="s">
        <v>955</v>
      </c>
      <c r="E544" s="115" t="s">
        <v>60</v>
      </c>
      <c r="F544" s="44">
        <v>30</v>
      </c>
      <c r="G544" s="98">
        <v>50.62</v>
      </c>
      <c r="H544" s="45">
        <f t="shared" si="60"/>
        <v>60.25</v>
      </c>
      <c r="I544" s="45">
        <f t="shared" si="61"/>
        <v>1807.5</v>
      </c>
    </row>
    <row r="545" spans="1:9" ht="36" x14ac:dyDescent="0.25">
      <c r="A545" s="41" t="s">
        <v>956</v>
      </c>
      <c r="B545" s="115">
        <v>92775</v>
      </c>
      <c r="C545" s="115" t="s">
        <v>25</v>
      </c>
      <c r="D545" s="119" t="s">
        <v>957</v>
      </c>
      <c r="E545" s="115" t="s">
        <v>125</v>
      </c>
      <c r="F545" s="44">
        <v>13</v>
      </c>
      <c r="G545" s="45">
        <v>12.57</v>
      </c>
      <c r="H545" s="45">
        <f t="shared" si="60"/>
        <v>14.96</v>
      </c>
      <c r="I545" s="45">
        <f t="shared" si="61"/>
        <v>194.48</v>
      </c>
    </row>
    <row r="546" spans="1:9" ht="36" x14ac:dyDescent="0.25">
      <c r="A546" s="41" t="s">
        <v>958</v>
      </c>
      <c r="B546" s="115">
        <v>92777</v>
      </c>
      <c r="C546" s="115" t="s">
        <v>25</v>
      </c>
      <c r="D546" s="119" t="s">
        <v>959</v>
      </c>
      <c r="E546" s="115" t="s">
        <v>125</v>
      </c>
      <c r="F546" s="44">
        <v>61</v>
      </c>
      <c r="G546" s="45">
        <v>10.33</v>
      </c>
      <c r="H546" s="45">
        <f t="shared" si="60"/>
        <v>12.29</v>
      </c>
      <c r="I546" s="45">
        <f t="shared" si="61"/>
        <v>749.69</v>
      </c>
    </row>
    <row r="547" spans="1:9" ht="24" x14ac:dyDescent="0.25">
      <c r="A547" s="41" t="s">
        <v>960</v>
      </c>
      <c r="B547" s="115">
        <v>94097</v>
      </c>
      <c r="C547" s="115" t="s">
        <v>25</v>
      </c>
      <c r="D547" s="119" t="s">
        <v>961</v>
      </c>
      <c r="E547" s="115" t="s">
        <v>27</v>
      </c>
      <c r="F547" s="44">
        <f>0.7*42.4</f>
        <v>29.679999999999996</v>
      </c>
      <c r="G547" s="45">
        <v>4.7699999999999996</v>
      </c>
      <c r="H547" s="45">
        <f t="shared" si="60"/>
        <v>5.67</v>
      </c>
      <c r="I547" s="45">
        <f t="shared" si="61"/>
        <v>168.28</v>
      </c>
    </row>
    <row r="548" spans="1:9" ht="24" x14ac:dyDescent="0.25">
      <c r="A548" s="41" t="s">
        <v>962</v>
      </c>
      <c r="B548" s="115" t="s">
        <v>963</v>
      </c>
      <c r="C548" s="115" t="s">
        <v>25</v>
      </c>
      <c r="D548" s="119" t="s">
        <v>964</v>
      </c>
      <c r="E548" s="115" t="s">
        <v>27</v>
      </c>
      <c r="F548" s="44">
        <v>150</v>
      </c>
      <c r="G548" s="45">
        <v>4.6900000000000004</v>
      </c>
      <c r="H548" s="45">
        <f t="shared" si="60"/>
        <v>5.58</v>
      </c>
      <c r="I548" s="45">
        <f t="shared" si="61"/>
        <v>837</v>
      </c>
    </row>
    <row r="549" spans="1:9" ht="48" x14ac:dyDescent="0.25">
      <c r="A549" s="41" t="s">
        <v>965</v>
      </c>
      <c r="B549" s="41" t="s">
        <v>966</v>
      </c>
      <c r="C549" s="41" t="s">
        <v>42</v>
      </c>
      <c r="D549" s="119" t="s">
        <v>967</v>
      </c>
      <c r="E549" s="117" t="s">
        <v>27</v>
      </c>
      <c r="F549" s="44">
        <v>150</v>
      </c>
      <c r="G549" s="45">
        <f>Composição!H118</f>
        <v>135.339</v>
      </c>
      <c r="H549" s="45">
        <f t="shared" si="60"/>
        <v>161.09</v>
      </c>
      <c r="I549" s="45">
        <f t="shared" si="61"/>
        <v>24163.5</v>
      </c>
    </row>
    <row r="550" spans="1:9" ht="48" x14ac:dyDescent="0.25">
      <c r="A550" s="41" t="s">
        <v>968</v>
      </c>
      <c r="B550" s="41" t="s">
        <v>969</v>
      </c>
      <c r="C550" s="41" t="s">
        <v>42</v>
      </c>
      <c r="D550" s="103" t="s">
        <v>970</v>
      </c>
      <c r="E550" s="117" t="s">
        <v>27</v>
      </c>
      <c r="F550" s="44">
        <v>4</v>
      </c>
      <c r="G550" s="45">
        <f>Composição!H130</f>
        <v>959.98037000000011</v>
      </c>
      <c r="H550" s="45">
        <f t="shared" si="60"/>
        <v>1142.6600000000001</v>
      </c>
      <c r="I550" s="45">
        <f t="shared" si="61"/>
        <v>4570.6400000000003</v>
      </c>
    </row>
    <row r="551" spans="1:9" ht="24" x14ac:dyDescent="0.25">
      <c r="A551" s="41" t="s">
        <v>971</v>
      </c>
      <c r="B551" s="115">
        <v>85180</v>
      </c>
      <c r="C551" s="115" t="s">
        <v>25</v>
      </c>
      <c r="D551" s="119" t="s">
        <v>972</v>
      </c>
      <c r="E551" s="117" t="s">
        <v>27</v>
      </c>
      <c r="F551" s="44">
        <v>54</v>
      </c>
      <c r="G551" s="45">
        <v>13.33</v>
      </c>
      <c r="H551" s="45">
        <f t="shared" si="60"/>
        <v>15.86</v>
      </c>
      <c r="I551" s="45">
        <f t="shared" si="61"/>
        <v>856.44</v>
      </c>
    </row>
    <row r="552" spans="1:9" x14ac:dyDescent="0.25">
      <c r="A552" s="46"/>
      <c r="B552" s="47"/>
      <c r="C552" s="48"/>
      <c r="D552" s="49" t="s">
        <v>973</v>
      </c>
      <c r="E552" s="50" t="s">
        <v>31</v>
      </c>
      <c r="F552" s="67"/>
      <c r="G552" s="52"/>
      <c r="H552" s="52"/>
      <c r="I552" s="53">
        <f>SUM(I533:I551)</f>
        <v>42238.16</v>
      </c>
    </row>
    <row r="553" spans="1:9" s="17" customFormat="1" ht="14.25" x14ac:dyDescent="0.25">
      <c r="A553" s="54" t="s">
        <v>974</v>
      </c>
      <c r="B553" s="54"/>
      <c r="C553" s="54"/>
      <c r="D553" s="39" t="s">
        <v>975</v>
      </c>
      <c r="E553" s="77"/>
      <c r="F553" s="78"/>
      <c r="G553" s="78"/>
      <c r="H553" s="78"/>
      <c r="I553" s="78"/>
    </row>
    <row r="554" spans="1:9" ht="24" x14ac:dyDescent="0.25">
      <c r="A554" s="100" t="s">
        <v>976</v>
      </c>
      <c r="B554" s="82">
        <v>89368</v>
      </c>
      <c r="C554" s="41" t="s">
        <v>25</v>
      </c>
      <c r="D554" s="73" t="s">
        <v>977</v>
      </c>
      <c r="E554" s="91" t="s">
        <v>46</v>
      </c>
      <c r="F554" s="44">
        <f>2*3</f>
        <v>6</v>
      </c>
      <c r="G554" s="45">
        <v>10.35</v>
      </c>
      <c r="H554" s="45">
        <f t="shared" ref="H554:H560" si="62">TRUNC(G554*1.1903,2)</f>
        <v>12.31</v>
      </c>
      <c r="I554" s="45">
        <f t="shared" ref="I554:I560" si="63">TRUNC(F554*H554,2)</f>
        <v>73.86</v>
      </c>
    </row>
    <row r="555" spans="1:9" ht="24" x14ac:dyDescent="0.25">
      <c r="A555" s="100" t="s">
        <v>978</v>
      </c>
      <c r="B555" s="82">
        <v>89367</v>
      </c>
      <c r="C555" s="41" t="s">
        <v>25</v>
      </c>
      <c r="D555" s="73" t="s">
        <v>979</v>
      </c>
      <c r="E555" s="91" t="s">
        <v>46</v>
      </c>
      <c r="F555" s="44">
        <f>2*3</f>
        <v>6</v>
      </c>
      <c r="G555" s="45">
        <v>9.01</v>
      </c>
      <c r="H555" s="45">
        <f t="shared" si="62"/>
        <v>10.72</v>
      </c>
      <c r="I555" s="45">
        <f t="shared" si="63"/>
        <v>64.319999999999993</v>
      </c>
    </row>
    <row r="556" spans="1:9" ht="24" x14ac:dyDescent="0.25">
      <c r="A556" s="100" t="s">
        <v>980</v>
      </c>
      <c r="B556" s="82">
        <v>89386</v>
      </c>
      <c r="C556" s="41" t="s">
        <v>25</v>
      </c>
      <c r="D556" s="73" t="s">
        <v>981</v>
      </c>
      <c r="E556" s="91" t="s">
        <v>46</v>
      </c>
      <c r="F556" s="44">
        <f>2*3</f>
        <v>6</v>
      </c>
      <c r="G556" s="45">
        <v>6.62</v>
      </c>
      <c r="H556" s="45">
        <f t="shared" si="62"/>
        <v>7.87</v>
      </c>
      <c r="I556" s="45">
        <f t="shared" si="63"/>
        <v>47.22</v>
      </c>
    </row>
    <row r="557" spans="1:9" ht="24" x14ac:dyDescent="0.25">
      <c r="A557" s="100" t="s">
        <v>982</v>
      </c>
      <c r="B557" s="82">
        <v>89398</v>
      </c>
      <c r="C557" s="41" t="s">
        <v>25</v>
      </c>
      <c r="D557" s="73" t="s">
        <v>983</v>
      </c>
      <c r="E557" s="91" t="s">
        <v>46</v>
      </c>
      <c r="F557" s="44">
        <f>2*3</f>
        <v>6</v>
      </c>
      <c r="G557" s="45">
        <v>12.96</v>
      </c>
      <c r="H557" s="45">
        <f t="shared" si="62"/>
        <v>15.42</v>
      </c>
      <c r="I557" s="45">
        <f t="shared" si="63"/>
        <v>92.52</v>
      </c>
    </row>
    <row r="558" spans="1:9" ht="24" x14ac:dyDescent="0.25">
      <c r="A558" s="100" t="s">
        <v>984</v>
      </c>
      <c r="B558" s="82">
        <v>89357</v>
      </c>
      <c r="C558" s="41" t="s">
        <v>25</v>
      </c>
      <c r="D558" s="73" t="s">
        <v>985</v>
      </c>
      <c r="E558" s="91" t="s">
        <v>60</v>
      </c>
      <c r="F558" s="44">
        <f>2.5*3</f>
        <v>7.5</v>
      </c>
      <c r="G558" s="45">
        <v>22.04</v>
      </c>
      <c r="H558" s="45">
        <f t="shared" si="62"/>
        <v>26.23</v>
      </c>
      <c r="I558" s="45">
        <f t="shared" si="63"/>
        <v>196.72</v>
      </c>
    </row>
    <row r="559" spans="1:9" x14ac:dyDescent="0.25">
      <c r="A559" s="100" t="s">
        <v>986</v>
      </c>
      <c r="B559" s="61" t="s">
        <v>987</v>
      </c>
      <c r="C559" s="41" t="s">
        <v>42</v>
      </c>
      <c r="D559" s="73" t="s">
        <v>988</v>
      </c>
      <c r="E559" s="91" t="s">
        <v>46</v>
      </c>
      <c r="F559" s="44">
        <v>8</v>
      </c>
      <c r="G559" s="45">
        <f>Composição!H147</f>
        <v>493.02940000000001</v>
      </c>
      <c r="H559" s="45">
        <f t="shared" si="62"/>
        <v>586.85</v>
      </c>
      <c r="I559" s="45">
        <f t="shared" si="63"/>
        <v>4694.8</v>
      </c>
    </row>
    <row r="560" spans="1:9" x14ac:dyDescent="0.25">
      <c r="A560" s="100" t="s">
        <v>989</v>
      </c>
      <c r="B560" s="61" t="s">
        <v>990</v>
      </c>
      <c r="C560" s="41" t="s">
        <v>42</v>
      </c>
      <c r="D560" s="73" t="s">
        <v>991</v>
      </c>
      <c r="E560" s="91" t="s">
        <v>46</v>
      </c>
      <c r="F560" s="44">
        <v>8</v>
      </c>
      <c r="G560" s="45">
        <f>Composição!H154</f>
        <v>62.475000000000001</v>
      </c>
      <c r="H560" s="45">
        <f t="shared" si="62"/>
        <v>74.36</v>
      </c>
      <c r="I560" s="45">
        <f t="shared" si="63"/>
        <v>594.88</v>
      </c>
    </row>
    <row r="561" spans="1:9" x14ac:dyDescent="0.25">
      <c r="A561" s="46"/>
      <c r="B561" s="47"/>
      <c r="C561" s="48"/>
      <c r="D561" s="49" t="s">
        <v>992</v>
      </c>
      <c r="E561" s="50" t="s">
        <v>31</v>
      </c>
      <c r="F561" s="67"/>
      <c r="G561" s="52"/>
      <c r="H561" s="52"/>
      <c r="I561" s="53">
        <f>SUM(I554:I560)</f>
        <v>5764.3200000000006</v>
      </c>
    </row>
    <row r="562" spans="1:9" x14ac:dyDescent="0.25">
      <c r="A562" s="86" t="s">
        <v>993</v>
      </c>
      <c r="B562" s="120"/>
      <c r="C562" s="54"/>
      <c r="D562" s="39" t="s">
        <v>994</v>
      </c>
      <c r="E562" s="54"/>
      <c r="F562" s="78"/>
      <c r="G562" s="78"/>
      <c r="H562" s="78"/>
      <c r="I562" s="57"/>
    </row>
    <row r="563" spans="1:9" x14ac:dyDescent="0.25">
      <c r="A563" s="91" t="s">
        <v>995</v>
      </c>
      <c r="B563" s="82">
        <v>90777</v>
      </c>
      <c r="C563" s="41" t="s">
        <v>25</v>
      </c>
      <c r="D563" s="103" t="s">
        <v>996</v>
      </c>
      <c r="E563" s="41" t="s">
        <v>997</v>
      </c>
      <c r="F563" s="45">
        <v>176</v>
      </c>
      <c r="G563" s="45">
        <v>92.21</v>
      </c>
      <c r="H563" s="45">
        <f>TRUNC(G563*1.1903,2)</f>
        <v>109.75</v>
      </c>
      <c r="I563" s="45">
        <f>TRUNC(F563*H563,2)</f>
        <v>19316</v>
      </c>
    </row>
    <row r="564" spans="1:9" x14ac:dyDescent="0.25">
      <c r="A564" s="91" t="s">
        <v>998</v>
      </c>
      <c r="B564" s="82">
        <v>90780</v>
      </c>
      <c r="C564" s="41" t="s">
        <v>25</v>
      </c>
      <c r="D564" s="103" t="s">
        <v>999</v>
      </c>
      <c r="E564" s="41" t="s">
        <v>997</v>
      </c>
      <c r="F564" s="45">
        <v>1408</v>
      </c>
      <c r="G564" s="45">
        <v>31.43</v>
      </c>
      <c r="H564" s="45">
        <f>TRUNC(G564*1.1903,2)</f>
        <v>37.409999999999997</v>
      </c>
      <c r="I564" s="45">
        <f>TRUNC(F564*H564,2)</f>
        <v>52673.279999999999</v>
      </c>
    </row>
    <row r="565" spans="1:9" x14ac:dyDescent="0.25">
      <c r="A565" s="46"/>
      <c r="B565" s="47"/>
      <c r="C565" s="121"/>
      <c r="D565" s="49" t="s">
        <v>1000</v>
      </c>
      <c r="E565" s="50" t="s">
        <v>31</v>
      </c>
      <c r="F565" s="67"/>
      <c r="G565" s="52"/>
      <c r="H565" s="52"/>
      <c r="I565" s="53">
        <f>SUM(I563:I564)</f>
        <v>71989.279999999999</v>
      </c>
    </row>
    <row r="566" spans="1:9" x14ac:dyDescent="0.25">
      <c r="A566" s="54" t="s">
        <v>1001</v>
      </c>
      <c r="B566" s="55"/>
      <c r="C566" s="83"/>
      <c r="D566" s="39" t="s">
        <v>1002</v>
      </c>
      <c r="E566" s="83"/>
      <c r="F566" s="79"/>
      <c r="G566" s="57"/>
      <c r="H566" s="57"/>
      <c r="I566" s="57"/>
    </row>
    <row r="567" spans="1:9" x14ac:dyDescent="0.25">
      <c r="A567" s="41" t="s">
        <v>1003</v>
      </c>
      <c r="B567" s="42" t="s">
        <v>1004</v>
      </c>
      <c r="C567" s="41" t="s">
        <v>42</v>
      </c>
      <c r="D567" s="113" t="s">
        <v>1005</v>
      </c>
      <c r="E567" s="61" t="s">
        <v>1006</v>
      </c>
      <c r="F567" s="44">
        <v>21</v>
      </c>
      <c r="G567" s="98">
        <f>Composição!H588</f>
        <v>23.215</v>
      </c>
      <c r="H567" s="45">
        <f>TRUNC(G567*1.1903,2)</f>
        <v>27.63</v>
      </c>
      <c r="I567" s="45">
        <f>TRUNC(F567*H567,2)</f>
        <v>580.23</v>
      </c>
    </row>
    <row r="568" spans="1:9" ht="24" x14ac:dyDescent="0.25">
      <c r="A568" s="41" t="s">
        <v>1007</v>
      </c>
      <c r="B568" s="61">
        <v>90443</v>
      </c>
      <c r="C568" s="42" t="s">
        <v>25</v>
      </c>
      <c r="D568" s="73" t="s">
        <v>1008</v>
      </c>
      <c r="E568" s="91" t="s">
        <v>60</v>
      </c>
      <c r="F568" s="44">
        <v>34</v>
      </c>
      <c r="G568" s="45">
        <v>40.47</v>
      </c>
      <c r="H568" s="45">
        <f>TRUNC(G568*1.1903,2)</f>
        <v>48.17</v>
      </c>
      <c r="I568" s="45">
        <f>TRUNC(F568*H568,2)</f>
        <v>1637.78</v>
      </c>
    </row>
    <row r="569" spans="1:9" ht="24" x14ac:dyDescent="0.25">
      <c r="A569" s="41" t="s">
        <v>1009</v>
      </c>
      <c r="B569" s="61">
        <v>90445</v>
      </c>
      <c r="C569" s="42" t="s">
        <v>25</v>
      </c>
      <c r="D569" s="73" t="s">
        <v>1010</v>
      </c>
      <c r="E569" s="91" t="s">
        <v>60</v>
      </c>
      <c r="F569" s="44">
        <f>12+42</f>
        <v>54</v>
      </c>
      <c r="G569" s="45">
        <v>20.61</v>
      </c>
      <c r="H569" s="45">
        <f>TRUNC(G569*1.1903,2)</f>
        <v>24.53</v>
      </c>
      <c r="I569" s="45">
        <f>TRUNC(F569*H569,2)</f>
        <v>1324.62</v>
      </c>
    </row>
    <row r="570" spans="1:9" ht="36" x14ac:dyDescent="0.25">
      <c r="A570" s="41" t="s">
        <v>1011</v>
      </c>
      <c r="B570" s="61">
        <v>96358</v>
      </c>
      <c r="C570" s="42" t="s">
        <v>25</v>
      </c>
      <c r="D570" s="73" t="s">
        <v>1012</v>
      </c>
      <c r="E570" s="91" t="s">
        <v>27</v>
      </c>
      <c r="F570" s="44">
        <v>83.82</v>
      </c>
      <c r="G570" s="45">
        <v>80.59</v>
      </c>
      <c r="H570" s="45">
        <f>TRUNC(G570*1.1903,2)</f>
        <v>95.92</v>
      </c>
      <c r="I570" s="45">
        <f>TRUNC(F570*H570,2)</f>
        <v>8040.01</v>
      </c>
    </row>
    <row r="571" spans="1:9" x14ac:dyDescent="0.25">
      <c r="A571" s="121"/>
      <c r="B571" s="121"/>
      <c r="C571" s="121"/>
      <c r="D571" s="49" t="s">
        <v>1013</v>
      </c>
      <c r="E571" s="50" t="s">
        <v>31</v>
      </c>
      <c r="F571" s="67"/>
      <c r="G571" s="67"/>
      <c r="H571" s="67"/>
      <c r="I571" s="53">
        <f>SUM(I567:I570)</f>
        <v>11582.64</v>
      </c>
    </row>
    <row r="572" spans="1:9" x14ac:dyDescent="0.25">
      <c r="A572" s="54" t="s">
        <v>1014</v>
      </c>
      <c r="B572" s="55"/>
      <c r="C572" s="83"/>
      <c r="D572" s="39" t="s">
        <v>1015</v>
      </c>
      <c r="E572" s="83"/>
      <c r="F572" s="79"/>
      <c r="G572" s="57"/>
      <c r="H572" s="57"/>
      <c r="I572" s="57"/>
    </row>
    <row r="573" spans="1:9" x14ac:dyDescent="0.25">
      <c r="A573" s="41" t="s">
        <v>1016</v>
      </c>
      <c r="B573" s="41">
        <v>72897</v>
      </c>
      <c r="C573" s="41" t="s">
        <v>25</v>
      </c>
      <c r="D573" s="64" t="s">
        <v>941</v>
      </c>
      <c r="E573" s="41" t="s">
        <v>37</v>
      </c>
      <c r="F573" s="44">
        <v>62.78</v>
      </c>
      <c r="G573" s="45">
        <v>19.27</v>
      </c>
      <c r="H573" s="45">
        <f>TRUNC(G573*1.1903,2)</f>
        <v>22.93</v>
      </c>
      <c r="I573" s="45">
        <f>TRUNC(F573*H573,2)</f>
        <v>1439.54</v>
      </c>
    </row>
    <row r="574" spans="1:9" ht="24" x14ac:dyDescent="0.25">
      <c r="A574" s="41" t="s">
        <v>1017</v>
      </c>
      <c r="B574" s="41">
        <v>72900</v>
      </c>
      <c r="C574" s="41" t="s">
        <v>25</v>
      </c>
      <c r="D574" s="64" t="s">
        <v>1018</v>
      </c>
      <c r="E574" s="41" t="s">
        <v>37</v>
      </c>
      <c r="F574" s="44">
        <v>62.78</v>
      </c>
      <c r="G574" s="60">
        <v>6.2</v>
      </c>
      <c r="H574" s="45">
        <f>TRUNC(G574*1.1903,2)</f>
        <v>7.37</v>
      </c>
      <c r="I574" s="45">
        <f>TRUNC(F574*H574,2)</f>
        <v>462.68</v>
      </c>
    </row>
    <row r="575" spans="1:9" x14ac:dyDescent="0.25">
      <c r="A575" s="46"/>
      <c r="B575" s="47"/>
      <c r="C575" s="48"/>
      <c r="D575" s="49" t="s">
        <v>1019</v>
      </c>
      <c r="E575" s="50" t="s">
        <v>31</v>
      </c>
      <c r="F575" s="67"/>
      <c r="G575" s="52"/>
      <c r="H575" s="52"/>
      <c r="I575" s="53">
        <f>SUM(I573:I574)</f>
        <v>1902.22</v>
      </c>
    </row>
    <row r="576" spans="1:9" ht="18" x14ac:dyDescent="0.25">
      <c r="A576" s="122"/>
      <c r="B576" s="123"/>
      <c r="C576" s="124"/>
      <c r="D576" s="125" t="s">
        <v>1020</v>
      </c>
      <c r="E576" s="126" t="s">
        <v>31</v>
      </c>
      <c r="F576" s="127"/>
      <c r="G576" s="127"/>
      <c r="H576" s="127"/>
      <c r="I576" s="128">
        <f>I22+I58+I70+I121+I124+I146+I164+I186+I242+I281+I284+I320+I324+I353+I398+I552+I561+I565+I571+I575+I530</f>
        <v>1272242.43</v>
      </c>
    </row>
  </sheetData>
  <mergeCells count="9">
    <mergeCell ref="A13:I13"/>
    <mergeCell ref="A14:D14"/>
    <mergeCell ref="A15:D15"/>
    <mergeCell ref="E17:G17"/>
    <mergeCell ref="A6:I6"/>
    <mergeCell ref="A7:I7"/>
    <mergeCell ref="A8:I8"/>
    <mergeCell ref="A10:I10"/>
    <mergeCell ref="A12:I12"/>
  </mergeCells>
  <conditionalFormatting sqref="D550">
    <cfRule type="expression" dxfId="9" priority="2">
      <formula>AND(#REF!&lt;&gt;"COMPOSICAO",#REF!&lt;&gt;"INSUMO",#REF!&lt;&gt;"")</formula>
    </cfRule>
    <cfRule type="expression" dxfId="8" priority="3">
      <formula>AND(OR(#REF!="COMPOSICAO",#REF!="INSUMO",#REF!&lt;&gt;""),#REF!&lt;&gt;"")</formula>
    </cfRule>
  </conditionalFormatting>
  <conditionalFormatting sqref="B538 D538:E538">
    <cfRule type="expression" dxfId="7" priority="4">
      <formula>AND(#REF!&lt;&gt;"COMPOSICAO",#REF!&lt;&gt;"INSUMO",#REF!&lt;&gt;"")</formula>
    </cfRule>
    <cfRule type="expression" dxfId="6" priority="5">
      <formula>AND(OR(#REF!="COMPOSICAO",#REF!="INSUMO",#REF!&lt;&gt;""),#REF!&lt;&gt;"")</formula>
    </cfRule>
  </conditionalFormatting>
  <conditionalFormatting sqref="E549:E550">
    <cfRule type="expression" dxfId="5" priority="6">
      <formula>AND(#REF!&lt;&gt;"COMPOSICAO",#REF!&lt;&gt;"INSUMO",#REF!&lt;&gt;"")</formula>
    </cfRule>
    <cfRule type="expression" dxfId="4" priority="7">
      <formula>AND(OR(#REF!="COMPOSICAO",#REF!="INSUMO",#REF!&lt;&gt;""),#REF!&lt;&gt;"")</formula>
    </cfRule>
  </conditionalFormatting>
  <conditionalFormatting sqref="E551">
    <cfRule type="expression" dxfId="3" priority="8">
      <formula>AND(#REF!&lt;&gt;"COMPOSICAO",#REF!&lt;&gt;"INSUMO",#REF!&lt;&gt;"")</formula>
    </cfRule>
    <cfRule type="expression" dxfId="2" priority="9">
      <formula>AND(OR(#REF!="COMPOSICAO",#REF!="INSUMO",#REF!&lt;&gt;""),#REF!&lt;&gt;"")</formula>
    </cfRule>
  </conditionalFormatting>
  <pageMargins left="0.66944444444444395" right="0.59027777777777801" top="0.98402777777777795" bottom="0.39374999999999999" header="0.51180555555555496" footer="0.51180555555555496"/>
  <pageSetup paperSize="9" firstPageNumber="0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3"/>
  <sheetViews>
    <sheetView zoomScaleNormal="100" workbookViewId="0">
      <selection activeCell="D7" sqref="D7"/>
    </sheetView>
  </sheetViews>
  <sheetFormatPr defaultRowHeight="15" x14ac:dyDescent="0.25"/>
  <cols>
    <col min="1" max="1" width="11.7109375" customWidth="1"/>
    <col min="2" max="2" width="8.5703125" customWidth="1"/>
    <col min="3" max="3" width="8.7109375" customWidth="1"/>
    <col min="4" max="4" width="30.42578125" customWidth="1"/>
    <col min="5" max="5" width="8.5703125" customWidth="1"/>
    <col min="6" max="6" width="14.5703125" customWidth="1"/>
    <col min="7" max="7" width="9.7109375" customWidth="1"/>
    <col min="8" max="8" width="22" customWidth="1"/>
    <col min="9" max="1025" width="8.5703125" customWidth="1"/>
  </cols>
  <sheetData>
    <row r="1" spans="1:8" x14ac:dyDescent="0.25">
      <c r="A1" s="17"/>
      <c r="B1" s="29"/>
      <c r="C1" s="29"/>
      <c r="D1" s="18"/>
      <c r="E1" s="20"/>
      <c r="F1" s="129"/>
      <c r="G1" s="18"/>
      <c r="H1" s="130"/>
    </row>
    <row r="2" spans="1:8" x14ac:dyDescent="0.25">
      <c r="A2" s="17"/>
      <c r="B2" s="29"/>
      <c r="C2" s="29"/>
      <c r="D2" s="18"/>
      <c r="E2" s="20"/>
      <c r="F2" s="129"/>
      <c r="G2" s="18"/>
      <c r="H2" s="130"/>
    </row>
    <row r="3" spans="1:8" x14ac:dyDescent="0.25">
      <c r="A3" s="17"/>
      <c r="B3" s="29"/>
      <c r="C3" s="29"/>
      <c r="D3" s="18"/>
      <c r="E3" s="20"/>
      <c r="F3" s="129"/>
      <c r="G3" s="18"/>
      <c r="H3" s="130"/>
    </row>
    <row r="4" spans="1:8" x14ac:dyDescent="0.25">
      <c r="A4" s="131"/>
      <c r="B4" s="132"/>
      <c r="C4" s="132"/>
      <c r="D4" s="133"/>
      <c r="E4" s="134"/>
      <c r="F4" s="135"/>
      <c r="G4" s="133"/>
      <c r="H4" s="136"/>
    </row>
    <row r="5" spans="1:8" ht="15.75" x14ac:dyDescent="0.25">
      <c r="A5" s="8" t="s">
        <v>1021</v>
      </c>
      <c r="B5" s="8"/>
      <c r="C5" s="8"/>
      <c r="D5" s="8"/>
      <c r="E5" s="8"/>
      <c r="F5" s="8"/>
      <c r="G5" s="8"/>
      <c r="H5" s="8"/>
    </row>
    <row r="6" spans="1:8" ht="15.75" x14ac:dyDescent="0.25">
      <c r="A6" s="8" t="s">
        <v>1022</v>
      </c>
      <c r="B6" s="8"/>
      <c r="C6" s="8"/>
      <c r="D6" s="8"/>
      <c r="E6" s="8"/>
      <c r="F6" s="8"/>
      <c r="G6" s="8"/>
      <c r="H6" s="8"/>
    </row>
    <row r="7" spans="1:8" ht="15.75" x14ac:dyDescent="0.25">
      <c r="A7" s="137"/>
      <c r="B7" s="138"/>
      <c r="C7" s="138"/>
      <c r="D7" s="26" t="s">
        <v>4</v>
      </c>
      <c r="E7" s="137"/>
      <c r="F7" s="139"/>
      <c r="G7" s="140"/>
      <c r="H7" s="136"/>
    </row>
    <row r="8" spans="1:8" ht="22.5" x14ac:dyDescent="0.25">
      <c r="A8" s="141" t="s">
        <v>42</v>
      </c>
      <c r="B8" s="141" t="s">
        <v>14</v>
      </c>
      <c r="C8" s="142" t="s">
        <v>13</v>
      </c>
      <c r="D8" s="142" t="s">
        <v>1023</v>
      </c>
      <c r="E8" s="142" t="s">
        <v>1024</v>
      </c>
      <c r="F8" s="142" t="s">
        <v>1025</v>
      </c>
      <c r="G8" s="142" t="s">
        <v>1026</v>
      </c>
      <c r="H8" s="142" t="s">
        <v>1027</v>
      </c>
    </row>
    <row r="9" spans="1:8" x14ac:dyDescent="0.25">
      <c r="A9" s="143"/>
      <c r="B9" s="143"/>
      <c r="C9" s="144"/>
      <c r="D9" s="144"/>
      <c r="E9" s="144"/>
      <c r="F9" s="144"/>
      <c r="G9" s="144"/>
      <c r="H9" s="144"/>
    </row>
    <row r="10" spans="1:8" ht="22.5" x14ac:dyDescent="0.25">
      <c r="A10" s="141" t="s">
        <v>480</v>
      </c>
      <c r="B10" s="141" t="s">
        <v>14</v>
      </c>
      <c r="C10" s="142" t="s">
        <v>13</v>
      </c>
      <c r="D10" s="142" t="s">
        <v>1028</v>
      </c>
      <c r="E10" s="141" t="s">
        <v>46</v>
      </c>
      <c r="F10" s="145" t="s">
        <v>1025</v>
      </c>
      <c r="G10" s="142" t="s">
        <v>1026</v>
      </c>
      <c r="H10" s="146" t="s">
        <v>1027</v>
      </c>
    </row>
    <row r="11" spans="1:8" ht="22.5" x14ac:dyDescent="0.25">
      <c r="A11" s="147" t="s">
        <v>1029</v>
      </c>
      <c r="B11" s="147" t="s">
        <v>25</v>
      </c>
      <c r="C11" s="147" t="s">
        <v>1030</v>
      </c>
      <c r="D11" s="148" t="s">
        <v>1031</v>
      </c>
      <c r="E11" s="147" t="s">
        <v>997</v>
      </c>
      <c r="F11" s="149">
        <v>0.25</v>
      </c>
      <c r="G11" s="150">
        <v>16.43</v>
      </c>
      <c r="H11" s="151">
        <f>F11*G11</f>
        <v>4.1074999999999999</v>
      </c>
    </row>
    <row r="12" spans="1:8" ht="33.75" x14ac:dyDescent="0.25">
      <c r="A12" s="147" t="s">
        <v>1032</v>
      </c>
      <c r="B12" s="147" t="s">
        <v>25</v>
      </c>
      <c r="C12" s="147" t="s">
        <v>1033</v>
      </c>
      <c r="D12" s="148" t="s">
        <v>1034</v>
      </c>
      <c r="E12" s="147" t="s">
        <v>46</v>
      </c>
      <c r="F12" s="149">
        <v>0.5</v>
      </c>
      <c r="G12" s="150">
        <v>0.52</v>
      </c>
      <c r="H12" s="151">
        <f>F12*G12</f>
        <v>0.26</v>
      </c>
    </row>
    <row r="13" spans="1:8" x14ac:dyDescent="0.25">
      <c r="A13" s="152"/>
      <c r="B13" s="140"/>
      <c r="C13" s="140"/>
      <c r="D13" s="140"/>
      <c r="E13" s="152"/>
      <c r="F13" s="140"/>
      <c r="G13" s="140"/>
      <c r="H13" s="153">
        <f>SUM(H10:H12)</f>
        <v>4.3674999999999997</v>
      </c>
    </row>
    <row r="14" spans="1:8" x14ac:dyDescent="0.25">
      <c r="A14" s="152"/>
      <c r="B14" s="140"/>
      <c r="C14" s="140"/>
      <c r="D14" s="154"/>
      <c r="E14" s="152"/>
      <c r="F14" s="140"/>
      <c r="G14" s="140"/>
      <c r="H14" s="155"/>
    </row>
    <row r="15" spans="1:8" ht="22.5" x14ac:dyDescent="0.25">
      <c r="A15" s="141" t="s">
        <v>1035</v>
      </c>
      <c r="B15" s="141" t="s">
        <v>14</v>
      </c>
      <c r="C15" s="142" t="s">
        <v>13</v>
      </c>
      <c r="D15" s="142" t="s">
        <v>1036</v>
      </c>
      <c r="E15" s="141" t="s">
        <v>125</v>
      </c>
      <c r="F15" s="156" t="s">
        <v>1025</v>
      </c>
      <c r="G15" s="142" t="s">
        <v>1026</v>
      </c>
      <c r="H15" s="146" t="s">
        <v>1027</v>
      </c>
    </row>
    <row r="16" spans="1:8" ht="33.75" x14ac:dyDescent="0.25">
      <c r="A16" s="147" t="s">
        <v>1029</v>
      </c>
      <c r="B16" s="147" t="s">
        <v>25</v>
      </c>
      <c r="C16" s="147">
        <v>98746</v>
      </c>
      <c r="D16" s="148" t="s">
        <v>1037</v>
      </c>
      <c r="E16" s="147" t="s">
        <v>60</v>
      </c>
      <c r="F16" s="149">
        <v>6.0000000000000001E-3</v>
      </c>
      <c r="G16" s="150">
        <v>39.65</v>
      </c>
      <c r="H16" s="151">
        <f>F16*G16</f>
        <v>0.2379</v>
      </c>
    </row>
    <row r="17" spans="1:8" ht="22.5" x14ac:dyDescent="0.25">
      <c r="A17" s="147" t="s">
        <v>1032</v>
      </c>
      <c r="B17" s="147" t="s">
        <v>25</v>
      </c>
      <c r="C17" s="147">
        <v>10966</v>
      </c>
      <c r="D17" s="148" t="s">
        <v>1038</v>
      </c>
      <c r="E17" s="147" t="s">
        <v>125</v>
      </c>
      <c r="F17" s="149">
        <v>1.05</v>
      </c>
      <c r="G17" s="150">
        <v>5.76</v>
      </c>
      <c r="H17" s="151">
        <f>F17*G17</f>
        <v>6.048</v>
      </c>
    </row>
    <row r="18" spans="1:8" ht="22.5" x14ac:dyDescent="0.25">
      <c r="A18" s="147" t="s">
        <v>1029</v>
      </c>
      <c r="B18" s="147" t="s">
        <v>25</v>
      </c>
      <c r="C18" s="147">
        <v>88315</v>
      </c>
      <c r="D18" s="148" t="s">
        <v>1039</v>
      </c>
      <c r="E18" s="147" t="s">
        <v>997</v>
      </c>
      <c r="F18" s="149">
        <v>0.12</v>
      </c>
      <c r="G18" s="150">
        <v>20.21</v>
      </c>
      <c r="H18" s="151">
        <f>F18*G18</f>
        <v>2.4251999999999998</v>
      </c>
    </row>
    <row r="19" spans="1:8" ht="22.5" x14ac:dyDescent="0.25">
      <c r="A19" s="147" t="s">
        <v>1029</v>
      </c>
      <c r="B19" s="147" t="s">
        <v>25</v>
      </c>
      <c r="C19" s="147">
        <v>88316</v>
      </c>
      <c r="D19" s="148" t="s">
        <v>1040</v>
      </c>
      <c r="E19" s="147" t="s">
        <v>997</v>
      </c>
      <c r="F19" s="149">
        <v>0.12</v>
      </c>
      <c r="G19" s="150">
        <v>16.43</v>
      </c>
      <c r="H19" s="151">
        <f>F19*G19</f>
        <v>1.9715999999999998</v>
      </c>
    </row>
    <row r="20" spans="1:8" x14ac:dyDescent="0.25">
      <c r="A20" s="137"/>
      <c r="B20" s="157"/>
      <c r="C20" s="157"/>
      <c r="D20" s="140"/>
      <c r="E20" s="137"/>
      <c r="F20" s="158"/>
      <c r="G20" s="140"/>
      <c r="H20" s="153">
        <f>SUM(H16:H19)</f>
        <v>10.682700000000001</v>
      </c>
    </row>
    <row r="21" spans="1:8" x14ac:dyDescent="0.25">
      <c r="A21" s="137"/>
      <c r="B21" s="157"/>
      <c r="C21" s="157"/>
      <c r="D21" s="140"/>
      <c r="E21" s="137"/>
      <c r="F21" s="158"/>
      <c r="G21" s="140"/>
      <c r="H21" s="159"/>
    </row>
    <row r="22" spans="1:8" ht="22.5" x14ac:dyDescent="0.25">
      <c r="A22" s="141" t="s">
        <v>400</v>
      </c>
      <c r="B22" s="141" t="s">
        <v>14</v>
      </c>
      <c r="C22" s="142" t="s">
        <v>13</v>
      </c>
      <c r="D22" s="160" t="s">
        <v>1041</v>
      </c>
      <c r="E22" s="141" t="s">
        <v>46</v>
      </c>
      <c r="F22" s="145" t="s">
        <v>1025</v>
      </c>
      <c r="G22" s="142" t="s">
        <v>1026</v>
      </c>
      <c r="H22" s="146" t="s">
        <v>1027</v>
      </c>
    </row>
    <row r="23" spans="1:8" ht="22.5" x14ac:dyDescent="0.25">
      <c r="A23" s="147" t="s">
        <v>1029</v>
      </c>
      <c r="B23" s="147" t="s">
        <v>25</v>
      </c>
      <c r="C23" s="147">
        <v>88325</v>
      </c>
      <c r="D23" s="148" t="s">
        <v>1042</v>
      </c>
      <c r="E23" s="147" t="s">
        <v>997</v>
      </c>
      <c r="F23" s="149">
        <v>3</v>
      </c>
      <c r="G23" s="150">
        <v>19.600000000000001</v>
      </c>
      <c r="H23" s="151">
        <f>F23*G23</f>
        <v>58.800000000000004</v>
      </c>
    </row>
    <row r="24" spans="1:8" ht="22.5" x14ac:dyDescent="0.25">
      <c r="A24" s="147" t="s">
        <v>1029</v>
      </c>
      <c r="B24" s="147" t="s">
        <v>25</v>
      </c>
      <c r="C24" s="147">
        <v>88252</v>
      </c>
      <c r="D24" s="148" t="s">
        <v>1043</v>
      </c>
      <c r="E24" s="147" t="s">
        <v>997</v>
      </c>
      <c r="F24" s="149">
        <v>3</v>
      </c>
      <c r="G24" s="150">
        <v>17.190000000000001</v>
      </c>
      <c r="H24" s="151">
        <f>F24*G24</f>
        <v>51.570000000000007</v>
      </c>
    </row>
    <row r="25" spans="1:8" ht="90" x14ac:dyDescent="0.25">
      <c r="A25" s="147" t="s">
        <v>1032</v>
      </c>
      <c r="B25" s="147" t="s">
        <v>25</v>
      </c>
      <c r="C25" s="147">
        <v>3104</v>
      </c>
      <c r="D25" s="161" t="s">
        <v>1044</v>
      </c>
      <c r="E25" s="147" t="s">
        <v>1045</v>
      </c>
      <c r="F25" s="149">
        <v>1</v>
      </c>
      <c r="G25" s="150">
        <v>392.63</v>
      </c>
      <c r="H25" s="151">
        <f>F25*G25</f>
        <v>392.63</v>
      </c>
    </row>
    <row r="26" spans="1:8" ht="67.5" x14ac:dyDescent="0.25">
      <c r="A26" s="147" t="s">
        <v>1032</v>
      </c>
      <c r="B26" s="147" t="s">
        <v>25</v>
      </c>
      <c r="C26" s="147">
        <v>11523</v>
      </c>
      <c r="D26" s="148" t="s">
        <v>1046</v>
      </c>
      <c r="E26" s="147" t="s">
        <v>46</v>
      </c>
      <c r="F26" s="162">
        <v>1</v>
      </c>
      <c r="G26" s="150">
        <v>13.13</v>
      </c>
      <c r="H26" s="151">
        <f>F26*G26</f>
        <v>13.13</v>
      </c>
    </row>
    <row r="27" spans="1:8" x14ac:dyDescent="0.25">
      <c r="A27" s="137"/>
      <c r="B27" s="157"/>
      <c r="C27" s="157"/>
      <c r="D27" s="140"/>
      <c r="E27" s="137"/>
      <c r="F27" s="158"/>
      <c r="G27" s="140"/>
      <c r="H27" s="153">
        <f>SUM(H23:H26)</f>
        <v>516.13</v>
      </c>
    </row>
    <row r="28" spans="1:8" x14ac:dyDescent="0.25">
      <c r="A28" s="137"/>
      <c r="B28" s="157"/>
      <c r="C28" s="157"/>
      <c r="D28" s="140"/>
      <c r="E28" s="137"/>
      <c r="F28" s="158"/>
      <c r="G28" s="140"/>
      <c r="H28" s="159"/>
    </row>
    <row r="29" spans="1:8" ht="22.5" x14ac:dyDescent="0.25">
      <c r="A29" s="141" t="s">
        <v>69</v>
      </c>
      <c r="B29" s="141" t="s">
        <v>14</v>
      </c>
      <c r="C29" s="142" t="s">
        <v>13</v>
      </c>
      <c r="D29" s="163" t="s">
        <v>1047</v>
      </c>
      <c r="E29" s="141" t="s">
        <v>27</v>
      </c>
      <c r="F29" s="156" t="s">
        <v>1025</v>
      </c>
      <c r="G29" s="142" t="s">
        <v>1026</v>
      </c>
      <c r="H29" s="146" t="s">
        <v>1027</v>
      </c>
    </row>
    <row r="30" spans="1:8" ht="22.5" x14ac:dyDescent="0.25">
      <c r="A30" s="147" t="s">
        <v>1029</v>
      </c>
      <c r="B30" s="147" t="s">
        <v>25</v>
      </c>
      <c r="C30" s="147">
        <v>88325</v>
      </c>
      <c r="D30" s="148" t="s">
        <v>1048</v>
      </c>
      <c r="E30" s="147" t="s">
        <v>997</v>
      </c>
      <c r="F30" s="149">
        <v>1</v>
      </c>
      <c r="G30" s="150">
        <v>19.600000000000001</v>
      </c>
      <c r="H30" s="151">
        <f>F30*G30</f>
        <v>19.600000000000001</v>
      </c>
    </row>
    <row r="31" spans="1:8" ht="22.5" x14ac:dyDescent="0.25">
      <c r="A31" s="147" t="s">
        <v>1029</v>
      </c>
      <c r="B31" s="147" t="s">
        <v>25</v>
      </c>
      <c r="C31" s="147">
        <v>88252</v>
      </c>
      <c r="D31" s="148" t="s">
        <v>1049</v>
      </c>
      <c r="E31" s="147" t="s">
        <v>997</v>
      </c>
      <c r="F31" s="149">
        <v>1</v>
      </c>
      <c r="G31" s="150">
        <v>17.190000000000001</v>
      </c>
      <c r="H31" s="151">
        <f>F31*G31</f>
        <v>17.190000000000001</v>
      </c>
    </row>
    <row r="32" spans="1:8" x14ac:dyDescent="0.25">
      <c r="A32" s="137"/>
      <c r="B32" s="157"/>
      <c r="C32" s="157"/>
      <c r="D32" s="140"/>
      <c r="E32" s="137"/>
      <c r="F32" s="158"/>
      <c r="G32" s="140"/>
      <c r="H32" s="153">
        <f>SUM(H30:H31)</f>
        <v>36.790000000000006</v>
      </c>
    </row>
    <row r="33" spans="1:8" x14ac:dyDescent="0.25">
      <c r="A33" s="137"/>
      <c r="B33" s="157"/>
      <c r="C33" s="157"/>
      <c r="D33" s="140"/>
      <c r="E33" s="137"/>
      <c r="F33" s="158"/>
      <c r="G33" s="140"/>
      <c r="H33" s="159"/>
    </row>
    <row r="34" spans="1:8" ht="79.5" x14ac:dyDescent="0.25">
      <c r="A34" s="141" t="s">
        <v>377</v>
      </c>
      <c r="B34" s="141" t="s">
        <v>14</v>
      </c>
      <c r="C34" s="142" t="s">
        <v>13</v>
      </c>
      <c r="D34" s="164" t="s">
        <v>1050</v>
      </c>
      <c r="E34" s="141" t="s">
        <v>46</v>
      </c>
      <c r="F34" s="145" t="s">
        <v>1025</v>
      </c>
      <c r="G34" s="142" t="s">
        <v>1026</v>
      </c>
      <c r="H34" s="146" t="s">
        <v>1027</v>
      </c>
    </row>
    <row r="35" spans="1:8" ht="78.75" x14ac:dyDescent="0.25">
      <c r="A35" s="147" t="s">
        <v>1032</v>
      </c>
      <c r="B35" s="147" t="s">
        <v>25</v>
      </c>
      <c r="C35" s="147">
        <v>3104</v>
      </c>
      <c r="D35" s="148" t="s">
        <v>1051</v>
      </c>
      <c r="E35" s="147" t="s">
        <v>1045</v>
      </c>
      <c r="F35" s="162">
        <v>1</v>
      </c>
      <c r="G35" s="150">
        <v>392.63</v>
      </c>
      <c r="H35" s="151">
        <f>F35*G35</f>
        <v>392.63</v>
      </c>
    </row>
    <row r="36" spans="1:8" ht="22.5" x14ac:dyDescent="0.25">
      <c r="A36" s="147" t="s">
        <v>1032</v>
      </c>
      <c r="B36" s="147" t="s">
        <v>25</v>
      </c>
      <c r="C36" s="147">
        <v>10507</v>
      </c>
      <c r="D36" s="148" t="s">
        <v>1052</v>
      </c>
      <c r="E36" s="147" t="s">
        <v>27</v>
      </c>
      <c r="F36" s="162">
        <f>1.8*2.61</f>
        <v>4.6979999999999995</v>
      </c>
      <c r="G36" s="150">
        <v>221.89</v>
      </c>
      <c r="H36" s="151">
        <f>F36*G36</f>
        <v>1042.4392199999998</v>
      </c>
    </row>
    <row r="37" spans="1:8" ht="22.5" x14ac:dyDescent="0.25">
      <c r="A37" s="147" t="s">
        <v>1032</v>
      </c>
      <c r="B37" s="147" t="s">
        <v>25</v>
      </c>
      <c r="C37" s="147">
        <v>11499</v>
      </c>
      <c r="D37" s="148" t="s">
        <v>1053</v>
      </c>
      <c r="E37" s="147" t="s">
        <v>46</v>
      </c>
      <c r="F37" s="162">
        <v>1</v>
      </c>
      <c r="G37" s="150">
        <v>1171.6500000000001</v>
      </c>
      <c r="H37" s="151">
        <f>F37*G37</f>
        <v>1171.6500000000001</v>
      </c>
    </row>
    <row r="38" spans="1:8" ht="67.5" x14ac:dyDescent="0.25">
      <c r="A38" s="147" t="s">
        <v>1032</v>
      </c>
      <c r="B38" s="147" t="s">
        <v>25</v>
      </c>
      <c r="C38" s="147">
        <v>11523</v>
      </c>
      <c r="D38" s="148" t="s">
        <v>1046</v>
      </c>
      <c r="E38" s="147" t="s">
        <v>46</v>
      </c>
      <c r="F38" s="162">
        <v>1</v>
      </c>
      <c r="G38" s="150">
        <v>13.13</v>
      </c>
      <c r="H38" s="151">
        <f>F38*G38</f>
        <v>13.13</v>
      </c>
    </row>
    <row r="39" spans="1:8" ht="22.5" x14ac:dyDescent="0.25">
      <c r="A39" s="147" t="s">
        <v>1029</v>
      </c>
      <c r="B39" s="147" t="s">
        <v>25</v>
      </c>
      <c r="C39" s="147">
        <v>88325</v>
      </c>
      <c r="D39" s="148" t="s">
        <v>1054</v>
      </c>
      <c r="E39" s="147" t="s">
        <v>997</v>
      </c>
      <c r="F39" s="162">
        <v>0.3</v>
      </c>
      <c r="G39" s="150">
        <v>19.600000000000001</v>
      </c>
      <c r="H39" s="165">
        <f>F39*G39</f>
        <v>5.88</v>
      </c>
    </row>
    <row r="40" spans="1:8" x14ac:dyDescent="0.25">
      <c r="A40" s="166"/>
      <c r="B40" s="166"/>
      <c r="C40" s="166"/>
      <c r="D40" s="167"/>
      <c r="E40" s="166"/>
      <c r="F40" s="168"/>
      <c r="G40" s="169"/>
      <c r="H40" s="153">
        <f>SUM(H35:H39)</f>
        <v>2625.7292200000002</v>
      </c>
    </row>
    <row r="41" spans="1:8" x14ac:dyDescent="0.25">
      <c r="A41" s="137"/>
      <c r="B41" s="157"/>
      <c r="C41" s="157"/>
      <c r="D41" s="140"/>
      <c r="E41" s="137"/>
      <c r="F41" s="158"/>
      <c r="G41" s="140"/>
      <c r="H41" s="159"/>
    </row>
    <row r="42" spans="1:8" ht="57" x14ac:dyDescent="0.25">
      <c r="A42" s="141" t="s">
        <v>414</v>
      </c>
      <c r="B42" s="141" t="s">
        <v>14</v>
      </c>
      <c r="C42" s="142" t="s">
        <v>13</v>
      </c>
      <c r="D42" s="164" t="s">
        <v>1055</v>
      </c>
      <c r="E42" s="141" t="s">
        <v>46</v>
      </c>
      <c r="F42" s="145" t="s">
        <v>1025</v>
      </c>
      <c r="G42" s="142" t="s">
        <v>1026</v>
      </c>
      <c r="H42" s="146" t="s">
        <v>1027</v>
      </c>
    </row>
    <row r="43" spans="1:8" ht="78.75" x14ac:dyDescent="0.25">
      <c r="A43" s="147" t="s">
        <v>1032</v>
      </c>
      <c r="B43" s="147" t="s">
        <v>25</v>
      </c>
      <c r="C43" s="147">
        <v>3104</v>
      </c>
      <c r="D43" s="148" t="s">
        <v>1051</v>
      </c>
      <c r="E43" s="147" t="s">
        <v>1045</v>
      </c>
      <c r="F43" s="162">
        <v>1</v>
      </c>
      <c r="G43" s="150">
        <v>392.63</v>
      </c>
      <c r="H43" s="150">
        <f t="shared" ref="H43:H48" si="0">F43*G43</f>
        <v>392.63</v>
      </c>
    </row>
    <row r="44" spans="1:8" ht="22.5" x14ac:dyDescent="0.25">
      <c r="A44" s="147" t="s">
        <v>1032</v>
      </c>
      <c r="B44" s="147" t="s">
        <v>25</v>
      </c>
      <c r="C44" s="147">
        <v>10507</v>
      </c>
      <c r="D44" s="148" t="s">
        <v>1052</v>
      </c>
      <c r="E44" s="147" t="s">
        <v>27</v>
      </c>
      <c r="F44" s="162">
        <f>1.55*2.11</f>
        <v>3.2704999999999997</v>
      </c>
      <c r="G44" s="150">
        <v>221.89</v>
      </c>
      <c r="H44" s="150">
        <f t="shared" si="0"/>
        <v>725.69124499999987</v>
      </c>
    </row>
    <row r="45" spans="1:8" x14ac:dyDescent="0.25">
      <c r="A45" s="147" t="s">
        <v>1032</v>
      </c>
      <c r="B45" s="147" t="s">
        <v>25</v>
      </c>
      <c r="C45" s="147">
        <v>34360</v>
      </c>
      <c r="D45" s="170" t="s">
        <v>1056</v>
      </c>
      <c r="E45" s="147" t="s">
        <v>125</v>
      </c>
      <c r="F45" s="162">
        <v>2.5</v>
      </c>
      <c r="G45" s="150">
        <v>22.83</v>
      </c>
      <c r="H45" s="150">
        <f t="shared" si="0"/>
        <v>57.074999999999996</v>
      </c>
    </row>
    <row r="46" spans="1:8" x14ac:dyDescent="0.25">
      <c r="A46" s="147" t="s">
        <v>1032</v>
      </c>
      <c r="B46" s="147" t="s">
        <v>25</v>
      </c>
      <c r="C46" s="147">
        <v>10498</v>
      </c>
      <c r="D46" s="170" t="s">
        <v>1057</v>
      </c>
      <c r="E46" s="147" t="s">
        <v>125</v>
      </c>
      <c r="F46" s="162">
        <v>1.5</v>
      </c>
      <c r="G46" s="150">
        <v>6.61</v>
      </c>
      <c r="H46" s="150">
        <f t="shared" si="0"/>
        <v>9.9150000000000009</v>
      </c>
    </row>
    <row r="47" spans="1:8" ht="67.5" x14ac:dyDescent="0.25">
      <c r="A47" s="147" t="s">
        <v>1032</v>
      </c>
      <c r="B47" s="147" t="s">
        <v>25</v>
      </c>
      <c r="C47" s="147">
        <v>11523</v>
      </c>
      <c r="D47" s="148" t="s">
        <v>1046</v>
      </c>
      <c r="E47" s="147" t="s">
        <v>46</v>
      </c>
      <c r="F47" s="162">
        <v>1</v>
      </c>
      <c r="G47" s="150">
        <v>13.13</v>
      </c>
      <c r="H47" s="150">
        <f t="shared" si="0"/>
        <v>13.13</v>
      </c>
    </row>
    <row r="48" spans="1:8" ht="22.5" x14ac:dyDescent="0.25">
      <c r="A48" s="147" t="s">
        <v>1029</v>
      </c>
      <c r="B48" s="147" t="s">
        <v>25</v>
      </c>
      <c r="C48" s="147">
        <v>88325</v>
      </c>
      <c r="D48" s="148" t="s">
        <v>1054</v>
      </c>
      <c r="E48" s="147" t="s">
        <v>997</v>
      </c>
      <c r="F48" s="162">
        <v>0.3</v>
      </c>
      <c r="G48" s="150">
        <v>19.600000000000001</v>
      </c>
      <c r="H48" s="150">
        <f t="shared" si="0"/>
        <v>5.88</v>
      </c>
    </row>
    <row r="49" spans="1:8" x14ac:dyDescent="0.25">
      <c r="A49" s="166"/>
      <c r="B49" s="166"/>
      <c r="C49" s="166"/>
      <c r="D49" s="167"/>
      <c r="E49" s="166"/>
      <c r="F49" s="168"/>
      <c r="G49" s="169"/>
      <c r="H49" s="153">
        <f>SUM(H43:H48)</f>
        <v>1204.3212450000001</v>
      </c>
    </row>
    <row r="50" spans="1:8" x14ac:dyDescent="0.25">
      <c r="A50" s="166"/>
      <c r="B50" s="166"/>
      <c r="C50" s="166"/>
      <c r="D50" s="167"/>
      <c r="E50" s="166"/>
      <c r="F50" s="168"/>
      <c r="G50" s="169"/>
      <c r="H50" s="23"/>
    </row>
    <row r="51" spans="1:8" x14ac:dyDescent="0.25">
      <c r="A51" s="137"/>
      <c r="B51" s="157"/>
      <c r="C51" s="157"/>
      <c r="D51" s="140"/>
      <c r="E51" s="137"/>
      <c r="F51" s="158"/>
      <c r="G51" s="140"/>
      <c r="H51" s="159"/>
    </row>
    <row r="52" spans="1:8" ht="45.75" x14ac:dyDescent="0.25">
      <c r="A52" s="141" t="s">
        <v>380</v>
      </c>
      <c r="B52" s="141" t="s">
        <v>14</v>
      </c>
      <c r="C52" s="142" t="s">
        <v>13</v>
      </c>
      <c r="D52" s="164" t="s">
        <v>1058</v>
      </c>
      <c r="E52" s="141" t="s">
        <v>27</v>
      </c>
      <c r="F52" s="145" t="s">
        <v>1025</v>
      </c>
      <c r="G52" s="142" t="s">
        <v>1026</v>
      </c>
      <c r="H52" s="146" t="s">
        <v>1027</v>
      </c>
    </row>
    <row r="53" spans="1:8" ht="45" x14ac:dyDescent="0.25">
      <c r="A53" s="147" t="s">
        <v>1032</v>
      </c>
      <c r="B53" s="147" t="s">
        <v>25</v>
      </c>
      <c r="C53" s="147">
        <v>4917</v>
      </c>
      <c r="D53" s="148" t="s">
        <v>1059</v>
      </c>
      <c r="E53" s="147" t="s">
        <v>27</v>
      </c>
      <c r="F53" s="162">
        <v>1</v>
      </c>
      <c r="G53" s="150">
        <v>521.92999999999995</v>
      </c>
      <c r="H53" s="150">
        <f t="shared" ref="H53:H59" si="1">F53*G53</f>
        <v>521.92999999999995</v>
      </c>
    </row>
    <row r="54" spans="1:8" ht="22.5" x14ac:dyDescent="0.25">
      <c r="A54" s="147" t="s">
        <v>1029</v>
      </c>
      <c r="B54" s="147" t="s">
        <v>25</v>
      </c>
      <c r="C54" s="147">
        <v>88309</v>
      </c>
      <c r="D54" s="148" t="s">
        <v>1060</v>
      </c>
      <c r="E54" s="147" t="s">
        <v>997</v>
      </c>
      <c r="F54" s="162">
        <v>1.5</v>
      </c>
      <c r="G54" s="150">
        <v>20.329999999999998</v>
      </c>
      <c r="H54" s="150">
        <f t="shared" si="1"/>
        <v>30.494999999999997</v>
      </c>
    </row>
    <row r="55" spans="1:8" ht="23.25" x14ac:dyDescent="0.25">
      <c r="A55" s="147" t="s">
        <v>1029</v>
      </c>
      <c r="B55" s="147" t="s">
        <v>25</v>
      </c>
      <c r="C55" s="147">
        <v>88316</v>
      </c>
      <c r="D55" s="171" t="s">
        <v>1061</v>
      </c>
      <c r="E55" s="147" t="s">
        <v>997</v>
      </c>
      <c r="F55" s="172">
        <v>1</v>
      </c>
      <c r="G55" s="150">
        <v>16.43</v>
      </c>
      <c r="H55" s="150">
        <f t="shared" si="1"/>
        <v>16.43</v>
      </c>
    </row>
    <row r="56" spans="1:8" ht="45.75" x14ac:dyDescent="0.25">
      <c r="A56" s="147" t="s">
        <v>1029</v>
      </c>
      <c r="B56" s="147" t="s">
        <v>25</v>
      </c>
      <c r="C56" s="147">
        <v>88626</v>
      </c>
      <c r="D56" s="171" t="s">
        <v>1062</v>
      </c>
      <c r="E56" s="147" t="s">
        <v>37</v>
      </c>
      <c r="F56" s="172">
        <v>4.4000000000000003E-3</v>
      </c>
      <c r="G56" s="150">
        <v>350.54</v>
      </c>
      <c r="H56" s="150">
        <f t="shared" si="1"/>
        <v>1.5423760000000002</v>
      </c>
    </row>
    <row r="57" spans="1:8" ht="45" x14ac:dyDescent="0.25">
      <c r="A57" s="147" t="s">
        <v>1032</v>
      </c>
      <c r="B57" s="147" t="s">
        <v>25</v>
      </c>
      <c r="C57" s="147">
        <v>36888</v>
      </c>
      <c r="D57" s="148" t="s">
        <v>1063</v>
      </c>
      <c r="E57" s="147" t="s">
        <v>60</v>
      </c>
      <c r="F57" s="162">
        <v>7.25</v>
      </c>
      <c r="G57" s="150">
        <v>12.67</v>
      </c>
      <c r="H57" s="150">
        <f t="shared" si="1"/>
        <v>91.857500000000002</v>
      </c>
    </row>
    <row r="58" spans="1:8" ht="45" x14ac:dyDescent="0.25">
      <c r="A58" s="147" t="s">
        <v>1032</v>
      </c>
      <c r="B58" s="147" t="s">
        <v>25</v>
      </c>
      <c r="C58" s="147">
        <v>2418</v>
      </c>
      <c r="D58" s="148" t="s">
        <v>1064</v>
      </c>
      <c r="E58" s="147" t="s">
        <v>46</v>
      </c>
      <c r="F58" s="162">
        <v>1.905</v>
      </c>
      <c r="G58" s="150">
        <v>16.489999999999998</v>
      </c>
      <c r="H58" s="150">
        <f t="shared" si="1"/>
        <v>31.413449999999997</v>
      </c>
    </row>
    <row r="59" spans="1:8" ht="33.75" x14ac:dyDescent="0.25">
      <c r="A59" s="147" t="s">
        <v>1032</v>
      </c>
      <c r="B59" s="147" t="s">
        <v>25</v>
      </c>
      <c r="C59" s="147">
        <v>3119</v>
      </c>
      <c r="D59" s="148" t="s">
        <v>1065</v>
      </c>
      <c r="E59" s="147" t="s">
        <v>46</v>
      </c>
      <c r="F59" s="162">
        <v>0.63500000000000001</v>
      </c>
      <c r="G59" s="150">
        <v>1.81</v>
      </c>
      <c r="H59" s="150">
        <f t="shared" si="1"/>
        <v>1.1493500000000001</v>
      </c>
    </row>
    <row r="60" spans="1:8" x14ac:dyDescent="0.25">
      <c r="A60" s="166"/>
      <c r="B60" s="166"/>
      <c r="C60" s="166"/>
      <c r="D60" s="167"/>
      <c r="E60" s="166"/>
      <c r="F60" s="173"/>
      <c r="G60" s="169"/>
      <c r="H60" s="174">
        <f>SUM(H53:H59)</f>
        <v>694.81767599999989</v>
      </c>
    </row>
    <row r="61" spans="1:8" x14ac:dyDescent="0.25">
      <c r="A61" s="152"/>
      <c r="B61" s="140"/>
      <c r="C61" s="140"/>
      <c r="D61" s="140"/>
      <c r="E61" s="152"/>
      <c r="F61" s="175"/>
      <c r="G61" s="140"/>
      <c r="H61" s="155"/>
    </row>
    <row r="62" spans="1:8" ht="34.5" x14ac:dyDescent="0.25">
      <c r="A62" s="141" t="s">
        <v>338</v>
      </c>
      <c r="B62" s="141" t="s">
        <v>14</v>
      </c>
      <c r="C62" s="142" t="s">
        <v>13</v>
      </c>
      <c r="D62" s="164" t="s">
        <v>1066</v>
      </c>
      <c r="E62" s="141" t="s">
        <v>125</v>
      </c>
      <c r="F62" s="145" t="s">
        <v>1025</v>
      </c>
      <c r="G62" s="142" t="s">
        <v>1026</v>
      </c>
      <c r="H62" s="146" t="s">
        <v>1027</v>
      </c>
    </row>
    <row r="63" spans="1:8" ht="34.5" x14ac:dyDescent="0.25">
      <c r="A63" s="147" t="s">
        <v>1032</v>
      </c>
      <c r="B63" s="147" t="s">
        <v>25</v>
      </c>
      <c r="C63" s="147">
        <v>40536</v>
      </c>
      <c r="D63" s="171" t="s">
        <v>1067</v>
      </c>
      <c r="E63" s="147" t="s">
        <v>125</v>
      </c>
      <c r="F63" s="172">
        <v>2.1</v>
      </c>
      <c r="G63" s="150">
        <v>6.3</v>
      </c>
      <c r="H63" s="150">
        <f>F63*G63</f>
        <v>13.23</v>
      </c>
    </row>
    <row r="64" spans="1:8" ht="33.75" x14ac:dyDescent="0.25">
      <c r="A64" s="147" t="s">
        <v>1029</v>
      </c>
      <c r="B64" s="147" t="s">
        <v>25</v>
      </c>
      <c r="C64" s="147">
        <v>98746</v>
      </c>
      <c r="D64" s="148" t="s">
        <v>1037</v>
      </c>
      <c r="E64" s="147" t="s">
        <v>60</v>
      </c>
      <c r="F64" s="172">
        <v>1.2E-2</v>
      </c>
      <c r="G64" s="150">
        <v>39.65</v>
      </c>
      <c r="H64" s="150">
        <f>F64*G64</f>
        <v>0.4758</v>
      </c>
    </row>
    <row r="65" spans="1:8" ht="22.5" x14ac:dyDescent="0.25">
      <c r="A65" s="147" t="s">
        <v>1029</v>
      </c>
      <c r="B65" s="147" t="s">
        <v>25</v>
      </c>
      <c r="C65" s="147">
        <v>88315</v>
      </c>
      <c r="D65" s="148" t="s">
        <v>1039</v>
      </c>
      <c r="E65" s="147" t="s">
        <v>997</v>
      </c>
      <c r="F65" s="162">
        <v>0.12</v>
      </c>
      <c r="G65" s="150">
        <v>20.21</v>
      </c>
      <c r="H65" s="150">
        <f>F65*G65</f>
        <v>2.4251999999999998</v>
      </c>
    </row>
    <row r="66" spans="1:8" ht="23.25" x14ac:dyDescent="0.25">
      <c r="A66" s="147" t="s">
        <v>1029</v>
      </c>
      <c r="B66" s="147" t="s">
        <v>25</v>
      </c>
      <c r="C66" s="147">
        <v>88316</v>
      </c>
      <c r="D66" s="171" t="s">
        <v>1040</v>
      </c>
      <c r="E66" s="147" t="s">
        <v>997</v>
      </c>
      <c r="F66" s="172">
        <v>0.12</v>
      </c>
      <c r="G66" s="150">
        <v>16.43</v>
      </c>
      <c r="H66" s="150">
        <f>F66*G66</f>
        <v>1.9715999999999998</v>
      </c>
    </row>
    <row r="67" spans="1:8" x14ac:dyDescent="0.25">
      <c r="A67" s="166"/>
      <c r="B67" s="166"/>
      <c r="C67" s="166"/>
      <c r="D67" s="167"/>
      <c r="E67" s="166"/>
      <c r="F67" s="173"/>
      <c r="G67" s="169"/>
      <c r="H67" s="174">
        <f>SUM(H63:H66)</f>
        <v>18.102599999999999</v>
      </c>
    </row>
    <row r="68" spans="1:8" x14ac:dyDescent="0.25">
      <c r="A68" s="166"/>
      <c r="B68" s="166"/>
      <c r="C68" s="166"/>
      <c r="D68" s="167"/>
      <c r="E68" s="166"/>
      <c r="F68" s="173"/>
      <c r="G68" s="169"/>
      <c r="H68" s="159"/>
    </row>
    <row r="69" spans="1:8" ht="23.25" x14ac:dyDescent="0.25">
      <c r="A69" s="141" t="s">
        <v>325</v>
      </c>
      <c r="B69" s="141" t="s">
        <v>14</v>
      </c>
      <c r="C69" s="142" t="s">
        <v>13</v>
      </c>
      <c r="D69" s="164" t="s">
        <v>326</v>
      </c>
      <c r="E69" s="141" t="s">
        <v>60</v>
      </c>
      <c r="F69" s="145" t="s">
        <v>1025</v>
      </c>
      <c r="G69" s="142" t="s">
        <v>1026</v>
      </c>
      <c r="H69" s="146" t="s">
        <v>1027</v>
      </c>
    </row>
    <row r="70" spans="1:8" ht="33.75" x14ac:dyDescent="0.25">
      <c r="A70" s="147" t="s">
        <v>1032</v>
      </c>
      <c r="B70" s="147" t="s">
        <v>25</v>
      </c>
      <c r="C70" s="147">
        <v>11026</v>
      </c>
      <c r="D70" s="161" t="s">
        <v>1068</v>
      </c>
      <c r="E70" s="147" t="s">
        <v>60</v>
      </c>
      <c r="F70" s="172">
        <v>9.36</v>
      </c>
      <c r="G70" s="150">
        <v>9</v>
      </c>
      <c r="H70" s="150">
        <f>F70*G70</f>
        <v>84.24</v>
      </c>
    </row>
    <row r="71" spans="1:8" ht="33.75" x14ac:dyDescent="0.25">
      <c r="A71" s="147" t="s">
        <v>1029</v>
      </c>
      <c r="B71" s="147" t="s">
        <v>25</v>
      </c>
      <c r="C71" s="147">
        <v>98746</v>
      </c>
      <c r="D71" s="148" t="s">
        <v>1037</v>
      </c>
      <c r="E71" s="147" t="s">
        <v>60</v>
      </c>
      <c r="F71" s="172">
        <v>6.0000000000000001E-3</v>
      </c>
      <c r="G71" s="150">
        <v>39.65</v>
      </c>
      <c r="H71" s="150">
        <f>F71*G71</f>
        <v>0.2379</v>
      </c>
    </row>
    <row r="72" spans="1:8" ht="45" x14ac:dyDescent="0.25">
      <c r="A72" s="147" t="s">
        <v>1032</v>
      </c>
      <c r="B72" s="147" t="s">
        <v>25</v>
      </c>
      <c r="C72" s="147">
        <v>21008</v>
      </c>
      <c r="D72" s="161" t="s">
        <v>1069</v>
      </c>
      <c r="E72" s="147" t="s">
        <v>60</v>
      </c>
      <c r="F72" s="172">
        <v>1.05</v>
      </c>
      <c r="G72" s="150">
        <v>11.59</v>
      </c>
      <c r="H72" s="150">
        <f>F72*G72</f>
        <v>12.169500000000001</v>
      </c>
    </row>
    <row r="73" spans="1:8" ht="22.5" x14ac:dyDescent="0.25">
      <c r="A73" s="147" t="s">
        <v>1029</v>
      </c>
      <c r="B73" s="147" t="s">
        <v>25</v>
      </c>
      <c r="C73" s="147">
        <v>88315</v>
      </c>
      <c r="D73" s="148" t="s">
        <v>1039</v>
      </c>
      <c r="E73" s="147" t="s">
        <v>997</v>
      </c>
      <c r="F73" s="162">
        <v>0.12</v>
      </c>
      <c r="G73" s="150">
        <v>20.21</v>
      </c>
      <c r="H73" s="150">
        <f>F73*G73</f>
        <v>2.4251999999999998</v>
      </c>
    </row>
    <row r="74" spans="1:8" ht="23.25" x14ac:dyDescent="0.25">
      <c r="A74" s="147" t="s">
        <v>1029</v>
      </c>
      <c r="B74" s="147" t="s">
        <v>25</v>
      </c>
      <c r="C74" s="147">
        <v>88316</v>
      </c>
      <c r="D74" s="171" t="s">
        <v>1040</v>
      </c>
      <c r="E74" s="147" t="s">
        <v>997</v>
      </c>
      <c r="F74" s="172">
        <v>0.12</v>
      </c>
      <c r="G74" s="150">
        <v>16.43</v>
      </c>
      <c r="H74" s="150">
        <f>F74*G74</f>
        <v>1.9715999999999998</v>
      </c>
    </row>
    <row r="75" spans="1:8" x14ac:dyDescent="0.25">
      <c r="A75" s="166"/>
      <c r="B75" s="166"/>
      <c r="C75" s="166"/>
      <c r="D75" s="167"/>
      <c r="E75" s="166"/>
      <c r="F75" s="173"/>
      <c r="G75" s="169"/>
      <c r="H75" s="174">
        <f>SUM(H70:H74)</f>
        <v>101.04419999999999</v>
      </c>
    </row>
    <row r="76" spans="1:8" x14ac:dyDescent="0.25">
      <c r="A76" s="166"/>
      <c r="B76" s="166"/>
      <c r="C76" s="166"/>
      <c r="D76" s="167"/>
      <c r="E76" s="166"/>
      <c r="F76" s="173"/>
      <c r="G76" s="169"/>
      <c r="H76" s="159"/>
    </row>
    <row r="77" spans="1:8" ht="23.25" x14ac:dyDescent="0.25">
      <c r="A77" s="141" t="s">
        <v>335</v>
      </c>
      <c r="B77" s="141" t="s">
        <v>14</v>
      </c>
      <c r="C77" s="142" t="s">
        <v>13</v>
      </c>
      <c r="D77" s="164" t="s">
        <v>336</v>
      </c>
      <c r="E77" s="141" t="s">
        <v>60</v>
      </c>
      <c r="F77" s="145" t="s">
        <v>1025</v>
      </c>
      <c r="G77" s="142" t="s">
        <v>1026</v>
      </c>
      <c r="H77" s="146" t="s">
        <v>1027</v>
      </c>
    </row>
    <row r="78" spans="1:8" ht="33.75" x14ac:dyDescent="0.25">
      <c r="A78" s="147" t="s">
        <v>1032</v>
      </c>
      <c r="B78" s="147" t="s">
        <v>25</v>
      </c>
      <c r="C78" s="147">
        <v>11026</v>
      </c>
      <c r="D78" s="161" t="s">
        <v>1068</v>
      </c>
      <c r="E78" s="147" t="s">
        <v>60</v>
      </c>
      <c r="F78" s="172">
        <v>15.65</v>
      </c>
      <c r="G78" s="150">
        <v>9</v>
      </c>
      <c r="H78" s="150">
        <f>F78*G78</f>
        <v>140.85</v>
      </c>
    </row>
    <row r="79" spans="1:8" ht="33.75" x14ac:dyDescent="0.25">
      <c r="A79" s="147" t="s">
        <v>1029</v>
      </c>
      <c r="B79" s="147" t="s">
        <v>25</v>
      </c>
      <c r="C79" s="147">
        <v>98746</v>
      </c>
      <c r="D79" s="148" t="s">
        <v>1037</v>
      </c>
      <c r="E79" s="147" t="s">
        <v>60</v>
      </c>
      <c r="F79" s="172">
        <v>6.0000000000000001E-3</v>
      </c>
      <c r="G79" s="150">
        <v>39.65</v>
      </c>
      <c r="H79" s="150">
        <f>F79*G79</f>
        <v>0.2379</v>
      </c>
    </row>
    <row r="80" spans="1:8" ht="45" x14ac:dyDescent="0.25">
      <c r="A80" s="147" t="s">
        <v>1032</v>
      </c>
      <c r="B80" s="147" t="s">
        <v>25</v>
      </c>
      <c r="C80" s="147">
        <v>21008</v>
      </c>
      <c r="D80" s="161" t="s">
        <v>1069</v>
      </c>
      <c r="E80" s="147" t="s">
        <v>60</v>
      </c>
      <c r="F80" s="172">
        <v>1.05</v>
      </c>
      <c r="G80" s="150">
        <v>11.59</v>
      </c>
      <c r="H80" s="150">
        <f>F80*G80</f>
        <v>12.169500000000001</v>
      </c>
    </row>
    <row r="81" spans="1:8" ht="22.5" x14ac:dyDescent="0.25">
      <c r="A81" s="147" t="s">
        <v>1029</v>
      </c>
      <c r="B81" s="147" t="s">
        <v>25</v>
      </c>
      <c r="C81" s="147">
        <v>88315</v>
      </c>
      <c r="D81" s="148" t="s">
        <v>1039</v>
      </c>
      <c r="E81" s="147" t="s">
        <v>997</v>
      </c>
      <c r="F81" s="162">
        <v>0.12</v>
      </c>
      <c r="G81" s="150">
        <v>20.21</v>
      </c>
      <c r="H81" s="150">
        <f>F81*G81</f>
        <v>2.4251999999999998</v>
      </c>
    </row>
    <row r="82" spans="1:8" ht="23.25" x14ac:dyDescent="0.25">
      <c r="A82" s="147" t="s">
        <v>1029</v>
      </c>
      <c r="B82" s="147" t="s">
        <v>25</v>
      </c>
      <c r="C82" s="147">
        <v>88316</v>
      </c>
      <c r="D82" s="171" t="s">
        <v>1040</v>
      </c>
      <c r="E82" s="147" t="s">
        <v>997</v>
      </c>
      <c r="F82" s="172">
        <v>0.12</v>
      </c>
      <c r="G82" s="150">
        <v>16.43</v>
      </c>
      <c r="H82" s="150">
        <f>F82*G82</f>
        <v>1.9715999999999998</v>
      </c>
    </row>
    <row r="83" spans="1:8" x14ac:dyDescent="0.25">
      <c r="A83" s="166"/>
      <c r="B83" s="166"/>
      <c r="C83" s="166"/>
      <c r="D83" s="167"/>
      <c r="E83" s="166"/>
      <c r="F83" s="173"/>
      <c r="G83" s="169"/>
      <c r="H83" s="174">
        <f>SUM(H78:H82)</f>
        <v>157.65419999999997</v>
      </c>
    </row>
    <row r="84" spans="1:8" x14ac:dyDescent="0.25">
      <c r="A84" s="166"/>
      <c r="B84" s="166"/>
      <c r="C84" s="166"/>
      <c r="D84" s="167"/>
      <c r="E84" s="166"/>
      <c r="F84" s="173"/>
      <c r="G84" s="169"/>
      <c r="H84" s="159"/>
    </row>
    <row r="85" spans="1:8" ht="45" x14ac:dyDescent="0.25">
      <c r="A85" s="141" t="s">
        <v>1070</v>
      </c>
      <c r="B85" s="141" t="s">
        <v>14</v>
      </c>
      <c r="C85" s="142" t="s">
        <v>13</v>
      </c>
      <c r="D85" s="160" t="s">
        <v>1071</v>
      </c>
      <c r="E85" s="141" t="s">
        <v>60</v>
      </c>
      <c r="F85" s="145" t="s">
        <v>1025</v>
      </c>
      <c r="G85" s="142" t="s">
        <v>1026</v>
      </c>
      <c r="H85" s="146" t="s">
        <v>1027</v>
      </c>
    </row>
    <row r="86" spans="1:8" ht="33.75" x14ac:dyDescent="0.25">
      <c r="A86" s="147" t="s">
        <v>1032</v>
      </c>
      <c r="B86" s="147" t="s">
        <v>25</v>
      </c>
      <c r="C86" s="147">
        <v>1337</v>
      </c>
      <c r="D86" s="161" t="s">
        <v>1072</v>
      </c>
      <c r="E86" s="147" t="s">
        <v>125</v>
      </c>
      <c r="F86" s="172">
        <v>19.630800000000001</v>
      </c>
      <c r="G86" s="150">
        <v>8.5299999999999994</v>
      </c>
      <c r="H86" s="150">
        <f t="shared" ref="H86:H91" si="2">F86*G86</f>
        <v>167.45072399999998</v>
      </c>
    </row>
    <row r="87" spans="1:8" ht="33.75" x14ac:dyDescent="0.25">
      <c r="A87" s="147" t="s">
        <v>1029</v>
      </c>
      <c r="B87" s="147" t="s">
        <v>25</v>
      </c>
      <c r="C87" s="147">
        <v>98746</v>
      </c>
      <c r="D87" s="148" t="s">
        <v>1037</v>
      </c>
      <c r="E87" s="147" t="s">
        <v>60</v>
      </c>
      <c r="F87" s="172">
        <v>1.2E-2</v>
      </c>
      <c r="G87" s="150">
        <v>39.65</v>
      </c>
      <c r="H87" s="150">
        <f t="shared" si="2"/>
        <v>0.4758</v>
      </c>
    </row>
    <row r="88" spans="1:8" ht="45" x14ac:dyDescent="0.25">
      <c r="A88" s="147" t="s">
        <v>1032</v>
      </c>
      <c r="B88" s="147" t="s">
        <v>25</v>
      </c>
      <c r="C88" s="147">
        <v>7701</v>
      </c>
      <c r="D88" s="161" t="s">
        <v>1073</v>
      </c>
      <c r="E88" s="147" t="s">
        <v>60</v>
      </c>
      <c r="F88" s="172">
        <v>1.05</v>
      </c>
      <c r="G88" s="150">
        <v>58.45</v>
      </c>
      <c r="H88" s="150">
        <f t="shared" si="2"/>
        <v>61.372500000000002</v>
      </c>
    </row>
    <row r="89" spans="1:8" ht="22.5" x14ac:dyDescent="0.25">
      <c r="A89" s="147" t="s">
        <v>1029</v>
      </c>
      <c r="B89" s="147" t="s">
        <v>25</v>
      </c>
      <c r="C89" s="147">
        <v>88315</v>
      </c>
      <c r="D89" s="148" t="s">
        <v>1039</v>
      </c>
      <c r="E89" s="147" t="s">
        <v>997</v>
      </c>
      <c r="F89" s="162">
        <v>3.4</v>
      </c>
      <c r="G89" s="150">
        <v>20.21</v>
      </c>
      <c r="H89" s="150">
        <f t="shared" si="2"/>
        <v>68.713999999999999</v>
      </c>
    </row>
    <row r="90" spans="1:8" ht="23.25" x14ac:dyDescent="0.25">
      <c r="A90" s="147" t="s">
        <v>1029</v>
      </c>
      <c r="B90" s="147" t="s">
        <v>25</v>
      </c>
      <c r="C90" s="147">
        <v>88316</v>
      </c>
      <c r="D90" s="171" t="s">
        <v>1040</v>
      </c>
      <c r="E90" s="147" t="s">
        <v>997</v>
      </c>
      <c r="F90" s="172">
        <v>3.1</v>
      </c>
      <c r="G90" s="150">
        <v>16.43</v>
      </c>
      <c r="H90" s="150">
        <f t="shared" si="2"/>
        <v>50.933</v>
      </c>
    </row>
    <row r="91" spans="1:8" ht="34.5" x14ac:dyDescent="0.25">
      <c r="A91" s="147" t="s">
        <v>1029</v>
      </c>
      <c r="B91" s="147" t="s">
        <v>25</v>
      </c>
      <c r="C91" s="147">
        <v>88631</v>
      </c>
      <c r="D91" s="171" t="s">
        <v>1074</v>
      </c>
      <c r="E91" s="147" t="s">
        <v>37</v>
      </c>
      <c r="F91" s="172">
        <v>0.02</v>
      </c>
      <c r="G91" s="150">
        <v>413.58</v>
      </c>
      <c r="H91" s="150">
        <f t="shared" si="2"/>
        <v>8.2715999999999994</v>
      </c>
    </row>
    <row r="92" spans="1:8" x14ac:dyDescent="0.25">
      <c r="A92" s="166"/>
      <c r="B92" s="166"/>
      <c r="C92" s="166"/>
      <c r="D92" s="167"/>
      <c r="E92" s="166"/>
      <c r="F92" s="173"/>
      <c r="G92" s="169"/>
      <c r="H92" s="174">
        <f>SUM(H86:H91)</f>
        <v>357.21762399999994</v>
      </c>
    </row>
    <row r="93" spans="1:8" x14ac:dyDescent="0.25">
      <c r="A93" s="166"/>
      <c r="B93" s="166"/>
      <c r="C93" s="166"/>
      <c r="D93" s="167"/>
      <c r="E93" s="166"/>
      <c r="F93" s="173"/>
      <c r="G93" s="169"/>
      <c r="H93" s="159"/>
    </row>
    <row r="94" spans="1:8" ht="33.75" x14ac:dyDescent="0.25">
      <c r="A94" s="141" t="s">
        <v>1075</v>
      </c>
      <c r="B94" s="141" t="s">
        <v>14</v>
      </c>
      <c r="C94" s="142" t="s">
        <v>13</v>
      </c>
      <c r="D94" s="160" t="s">
        <v>1076</v>
      </c>
      <c r="E94" s="141" t="s">
        <v>60</v>
      </c>
      <c r="F94" s="145" t="s">
        <v>1025</v>
      </c>
      <c r="G94" s="142" t="s">
        <v>1026</v>
      </c>
      <c r="H94" s="146" t="s">
        <v>1027</v>
      </c>
    </row>
    <row r="95" spans="1:8" ht="33.75" x14ac:dyDescent="0.25">
      <c r="A95" s="147" t="s">
        <v>1032</v>
      </c>
      <c r="B95" s="147" t="s">
        <v>25</v>
      </c>
      <c r="C95" s="147">
        <v>4722</v>
      </c>
      <c r="D95" s="161" t="s">
        <v>1077</v>
      </c>
      <c r="E95" s="147" t="s">
        <v>37</v>
      </c>
      <c r="F95" s="172">
        <v>8.2100000000000006E-2</v>
      </c>
      <c r="G95" s="150">
        <v>63.77</v>
      </c>
      <c r="H95" s="150">
        <f t="shared" ref="H95:H100" si="3">F95*G95</f>
        <v>5.2355170000000006</v>
      </c>
    </row>
    <row r="96" spans="1:8" ht="67.5" x14ac:dyDescent="0.25">
      <c r="A96" s="147" t="s">
        <v>1078</v>
      </c>
      <c r="B96" s="147" t="s">
        <v>25</v>
      </c>
      <c r="C96" s="147">
        <v>5811</v>
      </c>
      <c r="D96" s="161" t="s">
        <v>1079</v>
      </c>
      <c r="E96" s="147" t="s">
        <v>37</v>
      </c>
      <c r="F96" s="172">
        <v>3.2399999999999998E-3</v>
      </c>
      <c r="G96" s="150">
        <v>172.33</v>
      </c>
      <c r="H96" s="150">
        <f t="shared" si="3"/>
        <v>0.55834919999999999</v>
      </c>
    </row>
    <row r="97" spans="1:8" ht="56.25" x14ac:dyDescent="0.25">
      <c r="A97" s="147" t="s">
        <v>1032</v>
      </c>
      <c r="B97" s="147" t="s">
        <v>25</v>
      </c>
      <c r="C97" s="147">
        <v>38053</v>
      </c>
      <c r="D97" s="161" t="s">
        <v>1080</v>
      </c>
      <c r="E97" s="147" t="s">
        <v>60</v>
      </c>
      <c r="F97" s="172">
        <v>1</v>
      </c>
      <c r="G97" s="150">
        <v>11.13</v>
      </c>
      <c r="H97" s="150">
        <f t="shared" si="3"/>
        <v>11.13</v>
      </c>
    </row>
    <row r="98" spans="1:8" ht="33.75" x14ac:dyDescent="0.25">
      <c r="A98" s="147" t="s">
        <v>1078</v>
      </c>
      <c r="B98" s="147" t="s">
        <v>25</v>
      </c>
      <c r="C98" s="147">
        <v>88267</v>
      </c>
      <c r="D98" s="148" t="s">
        <v>1081</v>
      </c>
      <c r="E98" s="147" t="s">
        <v>997</v>
      </c>
      <c r="F98" s="162">
        <v>1.7500000000000002E-2</v>
      </c>
      <c r="G98" s="150">
        <v>20.81</v>
      </c>
      <c r="H98" s="150">
        <f t="shared" si="3"/>
        <v>0.36417500000000003</v>
      </c>
    </row>
    <row r="99" spans="1:8" ht="23.25" x14ac:dyDescent="0.25">
      <c r="A99" s="147" t="s">
        <v>1078</v>
      </c>
      <c r="B99" s="147" t="s">
        <v>25</v>
      </c>
      <c r="C99" s="147">
        <v>88316</v>
      </c>
      <c r="D99" s="171" t="s">
        <v>1040</v>
      </c>
      <c r="E99" s="147" t="s">
        <v>997</v>
      </c>
      <c r="F99" s="172">
        <v>0.79930000000000001</v>
      </c>
      <c r="G99" s="150">
        <v>16.43</v>
      </c>
      <c r="H99" s="150">
        <f t="shared" si="3"/>
        <v>13.132498999999999</v>
      </c>
    </row>
    <row r="100" spans="1:8" ht="45.75" x14ac:dyDescent="0.25">
      <c r="A100" s="147" t="s">
        <v>1078</v>
      </c>
      <c r="B100" s="147" t="s">
        <v>25</v>
      </c>
      <c r="C100" s="147">
        <v>91277</v>
      </c>
      <c r="D100" s="171" t="s">
        <v>1082</v>
      </c>
      <c r="E100" s="147" t="s">
        <v>1083</v>
      </c>
      <c r="F100" s="172">
        <v>7.6E-3</v>
      </c>
      <c r="G100" s="150">
        <v>4.79</v>
      </c>
      <c r="H100" s="150">
        <f t="shared" si="3"/>
        <v>3.6403999999999999E-2</v>
      </c>
    </row>
    <row r="101" spans="1:8" x14ac:dyDescent="0.25">
      <c r="A101" s="166"/>
      <c r="B101" s="166"/>
      <c r="C101" s="166"/>
      <c r="D101" s="167"/>
      <c r="E101" s="166"/>
      <c r="F101" s="173"/>
      <c r="G101" s="169"/>
      <c r="H101" s="174">
        <f>SUM(H95:H100)</f>
        <v>30.456944200000002</v>
      </c>
    </row>
    <row r="102" spans="1:8" x14ac:dyDescent="0.25">
      <c r="A102" s="166"/>
      <c r="B102" s="166"/>
      <c r="C102" s="166"/>
      <c r="D102" s="167"/>
      <c r="E102" s="166"/>
      <c r="F102" s="173"/>
      <c r="G102" s="169"/>
      <c r="H102" s="23"/>
    </row>
    <row r="103" spans="1:8" x14ac:dyDescent="0.25">
      <c r="A103" s="152"/>
      <c r="B103" s="140"/>
      <c r="C103" s="140"/>
      <c r="D103" s="140"/>
      <c r="E103" s="152"/>
      <c r="F103" s="175"/>
      <c r="G103" s="140"/>
      <c r="H103" s="155"/>
    </row>
    <row r="104" spans="1:8" ht="33.75" x14ac:dyDescent="0.25">
      <c r="A104" s="141" t="s">
        <v>1084</v>
      </c>
      <c r="B104" s="141" t="s">
        <v>14</v>
      </c>
      <c r="C104" s="142" t="s">
        <v>13</v>
      </c>
      <c r="D104" s="160" t="s">
        <v>1085</v>
      </c>
      <c r="E104" s="141" t="s">
        <v>37</v>
      </c>
      <c r="F104" s="145" t="s">
        <v>1025</v>
      </c>
      <c r="G104" s="142" t="s">
        <v>1026</v>
      </c>
      <c r="H104" s="146" t="s">
        <v>1027</v>
      </c>
    </row>
    <row r="105" spans="1:8" ht="33.75" x14ac:dyDescent="0.25">
      <c r="A105" s="147" t="s">
        <v>1032</v>
      </c>
      <c r="B105" s="147" t="s">
        <v>25</v>
      </c>
      <c r="C105" s="147">
        <v>366</v>
      </c>
      <c r="D105" s="161" t="s">
        <v>1086</v>
      </c>
      <c r="E105" s="147" t="s">
        <v>37</v>
      </c>
      <c r="F105" s="172">
        <v>1.05</v>
      </c>
      <c r="G105" s="150">
        <v>55</v>
      </c>
      <c r="H105" s="150">
        <f>F105*G105</f>
        <v>57.75</v>
      </c>
    </row>
    <row r="106" spans="1:8" ht="90" x14ac:dyDescent="0.25">
      <c r="A106" s="147" t="s">
        <v>1078</v>
      </c>
      <c r="B106" s="147" t="s">
        <v>25</v>
      </c>
      <c r="C106" s="147">
        <v>5680</v>
      </c>
      <c r="D106" s="161" t="s">
        <v>1087</v>
      </c>
      <c r="E106" s="147" t="s">
        <v>1083</v>
      </c>
      <c r="F106" s="172">
        <v>0.04</v>
      </c>
      <c r="G106" s="150">
        <v>94.48</v>
      </c>
      <c r="H106" s="150">
        <f>F106*G106</f>
        <v>3.7792000000000003</v>
      </c>
    </row>
    <row r="107" spans="1:8" ht="67.5" x14ac:dyDescent="0.25">
      <c r="A107" s="147" t="s">
        <v>1078</v>
      </c>
      <c r="B107" s="147" t="s">
        <v>25</v>
      </c>
      <c r="C107" s="147">
        <v>6259</v>
      </c>
      <c r="D107" s="161" t="s">
        <v>1088</v>
      </c>
      <c r="E107" s="147" t="s">
        <v>1083</v>
      </c>
      <c r="F107" s="172">
        <v>0.08</v>
      </c>
      <c r="G107" s="150">
        <v>143.19</v>
      </c>
      <c r="H107" s="150">
        <f>F107*G107</f>
        <v>11.4552</v>
      </c>
    </row>
    <row r="108" spans="1:8" ht="23.25" x14ac:dyDescent="0.25">
      <c r="A108" s="147" t="s">
        <v>1078</v>
      </c>
      <c r="B108" s="147" t="s">
        <v>25</v>
      </c>
      <c r="C108" s="147">
        <v>88316</v>
      </c>
      <c r="D108" s="171" t="s">
        <v>1040</v>
      </c>
      <c r="E108" s="147" t="s">
        <v>997</v>
      </c>
      <c r="F108" s="172">
        <v>0.32</v>
      </c>
      <c r="G108" s="150">
        <v>16.43</v>
      </c>
      <c r="H108" s="150">
        <f>F108*G108</f>
        <v>5.2576000000000001</v>
      </c>
    </row>
    <row r="109" spans="1:8" x14ac:dyDescent="0.25">
      <c r="A109" s="166"/>
      <c r="B109" s="166"/>
      <c r="C109" s="166"/>
      <c r="D109" s="167"/>
      <c r="E109" s="166"/>
      <c r="F109" s="173"/>
      <c r="G109" s="169"/>
      <c r="H109" s="174">
        <f>SUM(H105:H108)</f>
        <v>78.242000000000004</v>
      </c>
    </row>
    <row r="110" spans="1:8" x14ac:dyDescent="0.25">
      <c r="A110" s="152"/>
      <c r="B110" s="140"/>
      <c r="C110" s="140"/>
      <c r="D110" s="140"/>
      <c r="E110" s="152"/>
      <c r="F110" s="175"/>
      <c r="G110" s="140"/>
      <c r="H110" s="155"/>
    </row>
    <row r="111" spans="1:8" ht="90" x14ac:dyDescent="0.25">
      <c r="A111" s="141" t="s">
        <v>966</v>
      </c>
      <c r="B111" s="141" t="s">
        <v>14</v>
      </c>
      <c r="C111" s="142" t="s">
        <v>13</v>
      </c>
      <c r="D111" s="160" t="s">
        <v>967</v>
      </c>
      <c r="E111" s="141" t="s">
        <v>27</v>
      </c>
      <c r="F111" s="145" t="s">
        <v>1025</v>
      </c>
      <c r="G111" s="142" t="s">
        <v>1026</v>
      </c>
      <c r="H111" s="146" t="s">
        <v>1027</v>
      </c>
    </row>
    <row r="112" spans="1:8" ht="23.25" x14ac:dyDescent="0.25">
      <c r="A112" s="147" t="s">
        <v>1032</v>
      </c>
      <c r="B112" s="147" t="s">
        <v>25</v>
      </c>
      <c r="C112" s="147" t="s">
        <v>1089</v>
      </c>
      <c r="D112" s="171" t="s">
        <v>1090</v>
      </c>
      <c r="E112" s="147" t="s">
        <v>125</v>
      </c>
      <c r="F112" s="172" t="s">
        <v>1091</v>
      </c>
      <c r="G112" s="150">
        <v>15</v>
      </c>
      <c r="H112" s="150">
        <f t="shared" ref="H112:H117" si="4">F112*G112</f>
        <v>1.05</v>
      </c>
    </row>
    <row r="113" spans="1:8" ht="23.25" x14ac:dyDescent="0.25">
      <c r="A113" s="147" t="s">
        <v>1032</v>
      </c>
      <c r="B113" s="147" t="s">
        <v>25</v>
      </c>
      <c r="C113" s="147" t="s">
        <v>1092</v>
      </c>
      <c r="D113" s="171" t="s">
        <v>1093</v>
      </c>
      <c r="E113" s="147" t="s">
        <v>125</v>
      </c>
      <c r="F113" s="172" t="s">
        <v>1094</v>
      </c>
      <c r="G113" s="150">
        <v>12.97</v>
      </c>
      <c r="H113" s="150">
        <f t="shared" si="4"/>
        <v>1.9455</v>
      </c>
    </row>
    <row r="114" spans="1:8" ht="57" x14ac:dyDescent="0.25">
      <c r="A114" s="147" t="s">
        <v>1032</v>
      </c>
      <c r="B114" s="147" t="s">
        <v>25</v>
      </c>
      <c r="C114" s="147">
        <v>10937</v>
      </c>
      <c r="D114" s="171" t="s">
        <v>1095</v>
      </c>
      <c r="E114" s="147" t="s">
        <v>27</v>
      </c>
      <c r="F114" s="172" t="s">
        <v>1096</v>
      </c>
      <c r="G114" s="150">
        <v>25.41</v>
      </c>
      <c r="H114" s="150">
        <f t="shared" si="4"/>
        <v>26.680500000000002</v>
      </c>
    </row>
    <row r="115" spans="1:8" ht="34.5" x14ac:dyDescent="0.25">
      <c r="A115" s="147" t="s">
        <v>1032</v>
      </c>
      <c r="B115" s="147" t="s">
        <v>25</v>
      </c>
      <c r="C115" s="147">
        <v>7696</v>
      </c>
      <c r="D115" s="171" t="s">
        <v>1097</v>
      </c>
      <c r="E115" s="147" t="s">
        <v>60</v>
      </c>
      <c r="F115" s="172" t="s">
        <v>1098</v>
      </c>
      <c r="G115" s="150">
        <v>47.1</v>
      </c>
      <c r="H115" s="150">
        <f t="shared" si="4"/>
        <v>79.128</v>
      </c>
    </row>
    <row r="116" spans="1:8" ht="23.25" x14ac:dyDescent="0.25">
      <c r="A116" s="147" t="s">
        <v>1029</v>
      </c>
      <c r="B116" s="147" t="s">
        <v>25</v>
      </c>
      <c r="C116" s="147">
        <v>88315</v>
      </c>
      <c r="D116" s="171" t="s">
        <v>1099</v>
      </c>
      <c r="E116" s="147" t="s">
        <v>997</v>
      </c>
      <c r="F116" s="172" t="s">
        <v>1100</v>
      </c>
      <c r="G116" s="150">
        <v>20.21</v>
      </c>
      <c r="H116" s="150">
        <f t="shared" si="4"/>
        <v>10.105</v>
      </c>
    </row>
    <row r="117" spans="1:8" ht="23.25" x14ac:dyDescent="0.25">
      <c r="A117" s="147" t="s">
        <v>1029</v>
      </c>
      <c r="B117" s="147" t="s">
        <v>25</v>
      </c>
      <c r="C117" s="147">
        <v>88316</v>
      </c>
      <c r="D117" s="171" t="s">
        <v>1031</v>
      </c>
      <c r="E117" s="147" t="s">
        <v>997</v>
      </c>
      <c r="F117" s="172" t="s">
        <v>1101</v>
      </c>
      <c r="G117" s="150">
        <v>16.43</v>
      </c>
      <c r="H117" s="150">
        <f t="shared" si="4"/>
        <v>16.43</v>
      </c>
    </row>
    <row r="118" spans="1:8" x14ac:dyDescent="0.25">
      <c r="A118" s="152"/>
      <c r="B118" s="140"/>
      <c r="C118" s="140"/>
      <c r="D118" s="140"/>
      <c r="E118" s="152"/>
      <c r="F118" s="175"/>
      <c r="G118" s="140"/>
      <c r="H118" s="176">
        <f>SUM(H112:H117)</f>
        <v>135.339</v>
      </c>
    </row>
    <row r="119" spans="1:8" x14ac:dyDescent="0.25">
      <c r="A119" s="152"/>
      <c r="B119" s="140"/>
      <c r="C119" s="140"/>
      <c r="D119" s="140"/>
      <c r="E119" s="137"/>
      <c r="F119" s="158"/>
      <c r="G119" s="140"/>
      <c r="H119" s="177"/>
    </row>
    <row r="120" spans="1:8" ht="67.5" x14ac:dyDescent="0.25">
      <c r="A120" s="141" t="s">
        <v>969</v>
      </c>
      <c r="B120" s="141" t="s">
        <v>14</v>
      </c>
      <c r="C120" s="142" t="s">
        <v>13</v>
      </c>
      <c r="D120" s="178" t="s">
        <v>970</v>
      </c>
      <c r="E120" s="141" t="s">
        <v>27</v>
      </c>
      <c r="F120" s="145" t="s">
        <v>1025</v>
      </c>
      <c r="G120" s="142" t="s">
        <v>1026</v>
      </c>
      <c r="H120" s="146" t="s">
        <v>1027</v>
      </c>
    </row>
    <row r="121" spans="1:8" ht="57" x14ac:dyDescent="0.25">
      <c r="A121" s="147" t="s">
        <v>1032</v>
      </c>
      <c r="B121" s="147" t="s">
        <v>25</v>
      </c>
      <c r="C121" s="179">
        <v>10937</v>
      </c>
      <c r="D121" s="171" t="s">
        <v>1095</v>
      </c>
      <c r="E121" s="179" t="s">
        <v>27</v>
      </c>
      <c r="F121" s="180">
        <v>1.1000000000000001</v>
      </c>
      <c r="G121" s="150">
        <v>25.41</v>
      </c>
      <c r="H121" s="150">
        <f t="shared" ref="H121:H129" si="5">F121*G121</f>
        <v>27.951000000000004</v>
      </c>
    </row>
    <row r="122" spans="1:8" ht="45" x14ac:dyDescent="0.25">
      <c r="A122" s="147" t="s">
        <v>1032</v>
      </c>
      <c r="B122" s="147" t="s">
        <v>25</v>
      </c>
      <c r="C122" s="179">
        <v>7697</v>
      </c>
      <c r="D122" s="161" t="s">
        <v>1102</v>
      </c>
      <c r="E122" s="179" t="s">
        <v>60</v>
      </c>
      <c r="F122" s="181" t="s">
        <v>1103</v>
      </c>
      <c r="G122" s="150">
        <v>32.659999999999997</v>
      </c>
      <c r="H122" s="150">
        <f t="shared" si="5"/>
        <v>46.762587999999994</v>
      </c>
    </row>
    <row r="123" spans="1:8" ht="22.5" x14ac:dyDescent="0.25">
      <c r="A123" s="147" t="s">
        <v>1032</v>
      </c>
      <c r="B123" s="147" t="s">
        <v>25</v>
      </c>
      <c r="C123" s="179">
        <v>10997</v>
      </c>
      <c r="D123" s="161" t="s">
        <v>1104</v>
      </c>
      <c r="E123" s="179" t="s">
        <v>125</v>
      </c>
      <c r="F123" s="181" t="s">
        <v>1105</v>
      </c>
      <c r="G123" s="150">
        <v>12.6</v>
      </c>
      <c r="H123" s="150">
        <f t="shared" si="5"/>
        <v>42.462000000000003</v>
      </c>
    </row>
    <row r="124" spans="1:8" ht="45" x14ac:dyDescent="0.25">
      <c r="A124" s="147" t="s">
        <v>1032</v>
      </c>
      <c r="B124" s="147" t="s">
        <v>25</v>
      </c>
      <c r="C124" s="179">
        <v>21010</v>
      </c>
      <c r="D124" s="161" t="s">
        <v>1106</v>
      </c>
      <c r="E124" s="179" t="s">
        <v>60</v>
      </c>
      <c r="F124" s="181" t="s">
        <v>1107</v>
      </c>
      <c r="G124" s="150">
        <v>20.260000000000002</v>
      </c>
      <c r="H124" s="150">
        <f t="shared" si="5"/>
        <v>136.56658200000001</v>
      </c>
    </row>
    <row r="125" spans="1:8" ht="56.25" x14ac:dyDescent="0.25">
      <c r="A125" s="147" t="s">
        <v>1029</v>
      </c>
      <c r="B125" s="147" t="s">
        <v>25</v>
      </c>
      <c r="C125" s="179">
        <v>83765</v>
      </c>
      <c r="D125" s="161" t="s">
        <v>1108</v>
      </c>
      <c r="E125" s="179" t="s">
        <v>1083</v>
      </c>
      <c r="F125" s="181" t="s">
        <v>1109</v>
      </c>
      <c r="G125" s="150">
        <v>70.05</v>
      </c>
      <c r="H125" s="150">
        <f t="shared" si="5"/>
        <v>267.59099999999995</v>
      </c>
    </row>
    <row r="126" spans="1:8" ht="56.25" x14ac:dyDescent="0.25">
      <c r="A126" s="147" t="s">
        <v>1029</v>
      </c>
      <c r="B126" s="147" t="s">
        <v>25</v>
      </c>
      <c r="C126" s="179">
        <v>83766</v>
      </c>
      <c r="D126" s="161" t="s">
        <v>1110</v>
      </c>
      <c r="E126" s="179" t="s">
        <v>1111</v>
      </c>
      <c r="F126" s="181" t="s">
        <v>1112</v>
      </c>
      <c r="G126" s="150">
        <v>29.16</v>
      </c>
      <c r="H126" s="150">
        <f t="shared" si="5"/>
        <v>19.537200000000002</v>
      </c>
    </row>
    <row r="127" spans="1:8" ht="22.5" x14ac:dyDescent="0.25">
      <c r="A127" s="147" t="s">
        <v>1029</v>
      </c>
      <c r="B127" s="147" t="s">
        <v>25</v>
      </c>
      <c r="C127" s="179">
        <v>88315</v>
      </c>
      <c r="D127" s="161" t="s">
        <v>1113</v>
      </c>
      <c r="E127" s="179" t="s">
        <v>997</v>
      </c>
      <c r="F127" s="181" t="s">
        <v>1114</v>
      </c>
      <c r="G127" s="150">
        <v>20.21</v>
      </c>
      <c r="H127" s="150">
        <f t="shared" si="5"/>
        <v>141.47</v>
      </c>
    </row>
    <row r="128" spans="1:8" ht="22.5" x14ac:dyDescent="0.25">
      <c r="A128" s="147" t="s">
        <v>1029</v>
      </c>
      <c r="B128" s="147" t="s">
        <v>25</v>
      </c>
      <c r="C128" s="179">
        <v>88316</v>
      </c>
      <c r="D128" s="161" t="s">
        <v>1115</v>
      </c>
      <c r="E128" s="179" t="s">
        <v>997</v>
      </c>
      <c r="F128" s="181" t="s">
        <v>1116</v>
      </c>
      <c r="G128" s="150">
        <v>16.43</v>
      </c>
      <c r="H128" s="150">
        <f t="shared" si="5"/>
        <v>188.94499999999999</v>
      </c>
    </row>
    <row r="129" spans="1:8" ht="22.5" x14ac:dyDescent="0.25">
      <c r="A129" s="147" t="s">
        <v>1029</v>
      </c>
      <c r="B129" s="147" t="s">
        <v>25</v>
      </c>
      <c r="C129" s="179">
        <v>88317</v>
      </c>
      <c r="D129" s="161" t="s">
        <v>1117</v>
      </c>
      <c r="E129" s="179" t="s">
        <v>997</v>
      </c>
      <c r="F129" s="181" t="s">
        <v>1118</v>
      </c>
      <c r="G129" s="150">
        <v>19.71</v>
      </c>
      <c r="H129" s="150">
        <f t="shared" si="5"/>
        <v>88.695000000000007</v>
      </c>
    </row>
    <row r="130" spans="1:8" x14ac:dyDescent="0.25">
      <c r="A130" s="152"/>
      <c r="B130" s="140"/>
      <c r="C130" s="140"/>
      <c r="D130" s="140"/>
      <c r="E130" s="137"/>
      <c r="F130" s="158"/>
      <c r="G130" s="140"/>
      <c r="H130" s="182">
        <f>SUM(H121:H129)</f>
        <v>959.98037000000011</v>
      </c>
    </row>
    <row r="131" spans="1:8" x14ac:dyDescent="0.25">
      <c r="A131" s="152"/>
      <c r="B131" s="140"/>
      <c r="C131" s="140"/>
      <c r="D131" s="140"/>
      <c r="E131" s="137"/>
      <c r="F131" s="158"/>
      <c r="G131" s="140"/>
      <c r="H131" s="177"/>
    </row>
    <row r="132" spans="1:8" x14ac:dyDescent="0.25">
      <c r="A132" s="23"/>
      <c r="B132" s="23"/>
      <c r="C132" s="23"/>
      <c r="D132" s="23"/>
      <c r="E132" s="23"/>
      <c r="F132" s="23"/>
      <c r="G132" s="23"/>
      <c r="H132" s="23"/>
    </row>
    <row r="133" spans="1:8" ht="22.5" x14ac:dyDescent="0.25">
      <c r="A133" s="141" t="s">
        <v>72</v>
      </c>
      <c r="B133" s="141" t="s">
        <v>14</v>
      </c>
      <c r="C133" s="142" t="s">
        <v>13</v>
      </c>
      <c r="D133" s="164" t="s">
        <v>73</v>
      </c>
      <c r="E133" s="141" t="s">
        <v>46</v>
      </c>
      <c r="F133" s="145" t="s">
        <v>1025</v>
      </c>
      <c r="G133" s="142" t="s">
        <v>1026</v>
      </c>
      <c r="H133" s="146" t="s">
        <v>1027</v>
      </c>
    </row>
    <row r="134" spans="1:8" ht="22.5" x14ac:dyDescent="0.25">
      <c r="A134" s="147" t="s">
        <v>1029</v>
      </c>
      <c r="B134" s="147" t="s">
        <v>25</v>
      </c>
      <c r="C134" s="147">
        <v>88309</v>
      </c>
      <c r="D134" s="148" t="s">
        <v>1060</v>
      </c>
      <c r="E134" s="147" t="s">
        <v>997</v>
      </c>
      <c r="F134" s="162">
        <v>2</v>
      </c>
      <c r="G134" s="150">
        <v>20.329999999999998</v>
      </c>
      <c r="H134" s="150">
        <f>F134*G134</f>
        <v>40.659999999999997</v>
      </c>
    </row>
    <row r="135" spans="1:8" ht="23.25" x14ac:dyDescent="0.25">
      <c r="A135" s="147" t="s">
        <v>1029</v>
      </c>
      <c r="B135" s="147" t="s">
        <v>25</v>
      </c>
      <c r="C135" s="147">
        <v>88316</v>
      </c>
      <c r="D135" s="171" t="s">
        <v>1061</v>
      </c>
      <c r="E135" s="147" t="s">
        <v>997</v>
      </c>
      <c r="F135" s="172">
        <v>2</v>
      </c>
      <c r="G135" s="150">
        <v>16.43</v>
      </c>
      <c r="H135" s="150">
        <f>F135*G135</f>
        <v>32.86</v>
      </c>
    </row>
    <row r="136" spans="1:8" x14ac:dyDescent="0.25">
      <c r="A136" s="152"/>
      <c r="B136" s="140"/>
      <c r="C136" s="140"/>
      <c r="D136" s="140"/>
      <c r="E136" s="137"/>
      <c r="F136" s="158"/>
      <c r="G136" s="140"/>
      <c r="H136" s="182">
        <f>SUM(H134:H135)</f>
        <v>73.52</v>
      </c>
    </row>
    <row r="137" spans="1:8" x14ac:dyDescent="0.25">
      <c r="A137" s="152"/>
      <c r="B137" s="140"/>
      <c r="C137" s="140"/>
      <c r="D137" s="140"/>
      <c r="E137" s="137"/>
      <c r="F137" s="158"/>
      <c r="G137" s="140"/>
      <c r="H137" s="177"/>
    </row>
    <row r="138" spans="1:8" ht="22.5" x14ac:dyDescent="0.25">
      <c r="A138" s="141" t="s">
        <v>987</v>
      </c>
      <c r="B138" s="141" t="s">
        <v>14</v>
      </c>
      <c r="C138" s="142" t="s">
        <v>13</v>
      </c>
      <c r="D138" s="183" t="s">
        <v>988</v>
      </c>
      <c r="E138" s="141" t="s">
        <v>46</v>
      </c>
      <c r="F138" s="145" t="s">
        <v>1025</v>
      </c>
      <c r="G138" s="142" t="s">
        <v>1026</v>
      </c>
      <c r="H138" s="146" t="s">
        <v>1027</v>
      </c>
    </row>
    <row r="139" spans="1:8" ht="33.75" x14ac:dyDescent="0.25">
      <c r="A139" s="184" t="s">
        <v>1078</v>
      </c>
      <c r="B139" s="147" t="s">
        <v>25</v>
      </c>
      <c r="C139" s="184">
        <v>88275</v>
      </c>
      <c r="D139" s="161" t="s">
        <v>1119</v>
      </c>
      <c r="E139" s="147" t="s">
        <v>997</v>
      </c>
      <c r="F139" s="162">
        <v>2</v>
      </c>
      <c r="G139" s="150">
        <v>21.6</v>
      </c>
      <c r="H139" s="150">
        <f>G139*F139</f>
        <v>43.2</v>
      </c>
    </row>
    <row r="140" spans="1:8" ht="22.5" x14ac:dyDescent="0.25">
      <c r="A140" s="184" t="s">
        <v>1029</v>
      </c>
      <c r="B140" s="147" t="s">
        <v>25</v>
      </c>
      <c r="C140" s="184">
        <v>88250</v>
      </c>
      <c r="D140" s="161" t="s">
        <v>1120</v>
      </c>
      <c r="E140" s="147" t="s">
        <v>997</v>
      </c>
      <c r="F140" s="162">
        <v>2</v>
      </c>
      <c r="G140" s="150">
        <v>14.55</v>
      </c>
      <c r="H140" s="150">
        <f>G140*F140</f>
        <v>29.1</v>
      </c>
    </row>
    <row r="141" spans="1:8" x14ac:dyDescent="0.25">
      <c r="A141" s="184" t="s">
        <v>1032</v>
      </c>
      <c r="B141" s="147" t="s">
        <v>25</v>
      </c>
      <c r="C141" s="184">
        <v>39748</v>
      </c>
      <c r="D141" s="185" t="s">
        <v>1121</v>
      </c>
      <c r="E141" s="147" t="s">
        <v>60</v>
      </c>
      <c r="F141" s="162">
        <v>5</v>
      </c>
      <c r="G141" s="150">
        <v>40.36</v>
      </c>
      <c r="H141" s="150">
        <f t="shared" ref="H141:H146" si="6">F141*G141</f>
        <v>201.8</v>
      </c>
    </row>
    <row r="142" spans="1:8" x14ac:dyDescent="0.25">
      <c r="A142" s="184" t="s">
        <v>1032</v>
      </c>
      <c r="B142" s="179" t="s">
        <v>1122</v>
      </c>
      <c r="C142" s="186">
        <v>11509</v>
      </c>
      <c r="D142" s="185" t="s">
        <v>1123</v>
      </c>
      <c r="E142" s="147" t="s">
        <v>1124</v>
      </c>
      <c r="F142" s="162">
        <v>1.86</v>
      </c>
      <c r="G142" s="150">
        <v>33.29</v>
      </c>
      <c r="H142" s="150">
        <f t="shared" si="6"/>
        <v>61.919400000000003</v>
      </c>
    </row>
    <row r="143" spans="1:8" x14ac:dyDescent="0.25">
      <c r="A143" s="184" t="s">
        <v>1032</v>
      </c>
      <c r="B143" s="147" t="s">
        <v>25</v>
      </c>
      <c r="C143" s="184">
        <v>39719</v>
      </c>
      <c r="D143" s="185" t="s">
        <v>1125</v>
      </c>
      <c r="E143" s="147" t="s">
        <v>1126</v>
      </c>
      <c r="F143" s="162">
        <v>1</v>
      </c>
      <c r="G143" s="150">
        <v>66.25</v>
      </c>
      <c r="H143" s="150">
        <f t="shared" si="6"/>
        <v>66.25</v>
      </c>
    </row>
    <row r="144" spans="1:8" x14ac:dyDescent="0.25">
      <c r="A144" s="184" t="s">
        <v>1032</v>
      </c>
      <c r="B144" s="147" t="s">
        <v>25</v>
      </c>
      <c r="C144" s="184">
        <v>42529</v>
      </c>
      <c r="D144" s="185" t="s">
        <v>1127</v>
      </c>
      <c r="E144" s="147" t="s">
        <v>60</v>
      </c>
      <c r="F144" s="162">
        <v>30</v>
      </c>
      <c r="G144" s="150">
        <v>0.86</v>
      </c>
      <c r="H144" s="150">
        <f t="shared" si="6"/>
        <v>25.8</v>
      </c>
    </row>
    <row r="145" spans="1:8" ht="33.75" x14ac:dyDescent="0.25">
      <c r="A145" s="184" t="s">
        <v>1032</v>
      </c>
      <c r="B145" s="147" t="s">
        <v>25</v>
      </c>
      <c r="C145" s="184">
        <v>37590</v>
      </c>
      <c r="D145" s="148" t="s">
        <v>1128</v>
      </c>
      <c r="E145" s="147" t="s">
        <v>46</v>
      </c>
      <c r="F145" s="162">
        <v>2</v>
      </c>
      <c r="G145" s="150">
        <v>26.76</v>
      </c>
      <c r="H145" s="150">
        <f t="shared" si="6"/>
        <v>53.52</v>
      </c>
    </row>
    <row r="146" spans="1:8" ht="33.75" x14ac:dyDescent="0.25">
      <c r="A146" s="184" t="s">
        <v>1032</v>
      </c>
      <c r="B146" s="147" t="s">
        <v>25</v>
      </c>
      <c r="C146" s="184">
        <v>11964</v>
      </c>
      <c r="D146" s="148" t="s">
        <v>1129</v>
      </c>
      <c r="E146" s="147" t="s">
        <v>46</v>
      </c>
      <c r="F146" s="162">
        <v>8</v>
      </c>
      <c r="G146" s="150">
        <v>1.43</v>
      </c>
      <c r="H146" s="150">
        <f t="shared" si="6"/>
        <v>11.44</v>
      </c>
    </row>
    <row r="147" spans="1:8" x14ac:dyDescent="0.25">
      <c r="A147" s="152"/>
      <c r="B147" s="140"/>
      <c r="C147" s="140"/>
      <c r="D147" s="140"/>
      <c r="E147" s="137"/>
      <c r="F147" s="158"/>
      <c r="G147" s="187"/>
      <c r="H147" s="182">
        <f>SUM(H139:H146)</f>
        <v>493.02940000000001</v>
      </c>
    </row>
    <row r="148" spans="1:8" x14ac:dyDescent="0.25">
      <c r="A148" s="152"/>
      <c r="B148" s="140"/>
      <c r="C148" s="140"/>
      <c r="D148" s="140"/>
      <c r="E148" s="137"/>
      <c r="F148" s="158"/>
      <c r="G148" s="140"/>
      <c r="H148" s="177"/>
    </row>
    <row r="149" spans="1:8" ht="22.5" x14ac:dyDescent="0.25">
      <c r="A149" s="141" t="s">
        <v>990</v>
      </c>
      <c r="B149" s="141" t="s">
        <v>14</v>
      </c>
      <c r="C149" s="142" t="s">
        <v>13</v>
      </c>
      <c r="D149" s="188" t="s">
        <v>991</v>
      </c>
      <c r="E149" s="141" t="s">
        <v>46</v>
      </c>
      <c r="F149" s="145" t="s">
        <v>1025</v>
      </c>
      <c r="G149" s="142" t="s">
        <v>1026</v>
      </c>
      <c r="H149" s="146" t="s">
        <v>1027</v>
      </c>
    </row>
    <row r="150" spans="1:8" ht="22.5" x14ac:dyDescent="0.25">
      <c r="A150" s="184" t="s">
        <v>1078</v>
      </c>
      <c r="B150" s="147" t="s">
        <v>25</v>
      </c>
      <c r="C150" s="184">
        <v>88265</v>
      </c>
      <c r="D150" s="161" t="s">
        <v>1130</v>
      </c>
      <c r="E150" s="147" t="s">
        <v>997</v>
      </c>
      <c r="F150" s="162">
        <v>0.85</v>
      </c>
      <c r="G150" s="150">
        <v>21.05</v>
      </c>
      <c r="H150" s="150">
        <f>G150*F150</f>
        <v>17.892500000000002</v>
      </c>
    </row>
    <row r="151" spans="1:8" ht="22.5" x14ac:dyDescent="0.25">
      <c r="A151" s="184" t="s">
        <v>1078</v>
      </c>
      <c r="B151" s="147" t="s">
        <v>25</v>
      </c>
      <c r="C151" s="184">
        <v>88247</v>
      </c>
      <c r="D151" s="161" t="s">
        <v>1131</v>
      </c>
      <c r="E151" s="147" t="s">
        <v>997</v>
      </c>
      <c r="F151" s="162">
        <v>0.85</v>
      </c>
      <c r="G151" s="150">
        <v>16.3</v>
      </c>
      <c r="H151" s="150">
        <f>G151*F151</f>
        <v>13.855</v>
      </c>
    </row>
    <row r="152" spans="1:8" ht="33.75" x14ac:dyDescent="0.25">
      <c r="A152" s="184" t="s">
        <v>1029</v>
      </c>
      <c r="B152" s="147" t="s">
        <v>25</v>
      </c>
      <c r="C152" s="184">
        <v>88275</v>
      </c>
      <c r="D152" s="161" t="s">
        <v>1119</v>
      </c>
      <c r="E152" s="147" t="s">
        <v>997</v>
      </c>
      <c r="F152" s="162">
        <v>0.85</v>
      </c>
      <c r="G152" s="150">
        <v>21.6</v>
      </c>
      <c r="H152" s="150">
        <f>G152*F152</f>
        <v>18.36</v>
      </c>
    </row>
    <row r="153" spans="1:8" ht="22.5" x14ac:dyDescent="0.25">
      <c r="A153" s="184" t="s">
        <v>1029</v>
      </c>
      <c r="B153" s="147" t="s">
        <v>25</v>
      </c>
      <c r="C153" s="184">
        <v>88250</v>
      </c>
      <c r="D153" s="161" t="s">
        <v>1120</v>
      </c>
      <c r="E153" s="147" t="s">
        <v>997</v>
      </c>
      <c r="F153" s="162">
        <v>0.85</v>
      </c>
      <c r="G153" s="150">
        <v>14.55</v>
      </c>
      <c r="H153" s="150">
        <f>G153*F153</f>
        <v>12.3675</v>
      </c>
    </row>
    <row r="154" spans="1:8" x14ac:dyDescent="0.25">
      <c r="A154" s="189"/>
      <c r="B154" s="189"/>
      <c r="C154" s="190"/>
      <c r="D154" s="191"/>
      <c r="E154" s="192"/>
      <c r="F154" s="192"/>
      <c r="G154" s="193"/>
      <c r="H154" s="194">
        <f>SUM(H150:H153)</f>
        <v>62.475000000000001</v>
      </c>
    </row>
    <row r="155" spans="1:8" x14ac:dyDescent="0.25">
      <c r="A155" s="152"/>
      <c r="B155" s="140"/>
      <c r="C155" s="140"/>
      <c r="D155" s="140"/>
      <c r="E155" s="137"/>
      <c r="F155" s="158"/>
      <c r="G155" s="140"/>
      <c r="H155" s="177"/>
    </row>
    <row r="156" spans="1:8" ht="45" x14ac:dyDescent="0.25">
      <c r="A156" s="141" t="s">
        <v>308</v>
      </c>
      <c r="B156" s="141" t="s">
        <v>14</v>
      </c>
      <c r="C156" s="142" t="s">
        <v>13</v>
      </c>
      <c r="D156" s="195" t="s">
        <v>309</v>
      </c>
      <c r="E156" s="196" t="s">
        <v>60</v>
      </c>
      <c r="F156" s="156" t="s">
        <v>1025</v>
      </c>
      <c r="G156" s="142" t="s">
        <v>1026</v>
      </c>
      <c r="H156" s="197" t="s">
        <v>1027</v>
      </c>
    </row>
    <row r="157" spans="1:8" ht="45.75" x14ac:dyDescent="0.25">
      <c r="A157" s="147" t="s">
        <v>1032</v>
      </c>
      <c r="B157" s="147" t="s">
        <v>25</v>
      </c>
      <c r="C157" s="147">
        <v>142</v>
      </c>
      <c r="D157" s="171" t="s">
        <v>1132</v>
      </c>
      <c r="E157" s="147" t="s">
        <v>1133</v>
      </c>
      <c r="F157" s="198">
        <v>0.04</v>
      </c>
      <c r="G157" s="150">
        <v>31.66</v>
      </c>
      <c r="H157" s="150">
        <f t="shared" ref="H157:H165" si="7">F157*G157</f>
        <v>1.2664</v>
      </c>
    </row>
    <row r="158" spans="1:8" ht="23.25" x14ac:dyDescent="0.25">
      <c r="A158" s="147" t="s">
        <v>1032</v>
      </c>
      <c r="B158" s="147" t="s">
        <v>25</v>
      </c>
      <c r="C158" s="147">
        <v>5061</v>
      </c>
      <c r="D158" s="171" t="s">
        <v>1134</v>
      </c>
      <c r="E158" s="147" t="s">
        <v>125</v>
      </c>
      <c r="F158" s="198">
        <v>6.0000000000000001E-3</v>
      </c>
      <c r="G158" s="150">
        <v>11.4</v>
      </c>
      <c r="H158" s="150">
        <f t="shared" si="7"/>
        <v>6.8400000000000002E-2</v>
      </c>
    </row>
    <row r="159" spans="1:8" ht="34.5" x14ac:dyDescent="0.25">
      <c r="A159" s="147" t="s">
        <v>1032</v>
      </c>
      <c r="B159" s="147" t="s">
        <v>25</v>
      </c>
      <c r="C159" s="147">
        <v>5104</v>
      </c>
      <c r="D159" s="171" t="s">
        <v>1135</v>
      </c>
      <c r="E159" s="147" t="s">
        <v>125</v>
      </c>
      <c r="F159" s="198">
        <v>1.1999999999999999E-3</v>
      </c>
      <c r="G159" s="150">
        <v>37.22</v>
      </c>
      <c r="H159" s="150">
        <f t="shared" si="7"/>
        <v>4.4663999999999995E-2</v>
      </c>
    </row>
    <row r="160" spans="1:8" ht="23.25" x14ac:dyDescent="0.25">
      <c r="A160" s="147" t="s">
        <v>1032</v>
      </c>
      <c r="B160" s="147" t="s">
        <v>25</v>
      </c>
      <c r="C160" s="147">
        <v>13388</v>
      </c>
      <c r="D160" s="171" t="s">
        <v>1136</v>
      </c>
      <c r="E160" s="147" t="s">
        <v>125</v>
      </c>
      <c r="F160" s="198">
        <v>4.4999999999999998E-2</v>
      </c>
      <c r="G160" s="150">
        <v>61.31</v>
      </c>
      <c r="H160" s="150">
        <f t="shared" si="7"/>
        <v>2.75895</v>
      </c>
    </row>
    <row r="161" spans="1:8" ht="23.25" x14ac:dyDescent="0.25">
      <c r="A161" s="147" t="s">
        <v>1032</v>
      </c>
      <c r="B161" s="147" t="s">
        <v>25</v>
      </c>
      <c r="C161" s="147">
        <v>1114</v>
      </c>
      <c r="D161" s="171" t="s">
        <v>1137</v>
      </c>
      <c r="E161" s="147" t="s">
        <v>60</v>
      </c>
      <c r="F161" s="198">
        <v>1.05</v>
      </c>
      <c r="G161" s="150">
        <v>37.270000000000003</v>
      </c>
      <c r="H161" s="150">
        <f t="shared" si="7"/>
        <v>39.133500000000005</v>
      </c>
    </row>
    <row r="162" spans="1:8" ht="23.25" x14ac:dyDescent="0.25">
      <c r="A162" s="147" t="s">
        <v>1029</v>
      </c>
      <c r="B162" s="147" t="s">
        <v>25</v>
      </c>
      <c r="C162" s="147">
        <v>88316</v>
      </c>
      <c r="D162" s="171" t="s">
        <v>1138</v>
      </c>
      <c r="E162" s="147" t="s">
        <v>997</v>
      </c>
      <c r="F162" s="198">
        <v>0.20699999999999999</v>
      </c>
      <c r="G162" s="150">
        <v>16.43</v>
      </c>
      <c r="H162" s="150">
        <f t="shared" si="7"/>
        <v>3.4010099999999999</v>
      </c>
    </row>
    <row r="163" spans="1:8" ht="23.25" x14ac:dyDescent="0.25">
      <c r="A163" s="147" t="s">
        <v>1029</v>
      </c>
      <c r="B163" s="147" t="s">
        <v>25</v>
      </c>
      <c r="C163" s="147">
        <v>88323</v>
      </c>
      <c r="D163" s="171" t="s">
        <v>1139</v>
      </c>
      <c r="E163" s="147" t="s">
        <v>997</v>
      </c>
      <c r="F163" s="198">
        <v>0.112</v>
      </c>
      <c r="G163" s="150">
        <v>21.59</v>
      </c>
      <c r="H163" s="150">
        <f t="shared" si="7"/>
        <v>2.4180800000000002</v>
      </c>
    </row>
    <row r="164" spans="1:8" ht="45.75" x14ac:dyDescent="0.25">
      <c r="A164" s="147" t="s">
        <v>1029</v>
      </c>
      <c r="B164" s="147" t="s">
        <v>25</v>
      </c>
      <c r="C164" s="147">
        <v>93281</v>
      </c>
      <c r="D164" s="171" t="s">
        <v>1140</v>
      </c>
      <c r="E164" s="147" t="s">
        <v>1083</v>
      </c>
      <c r="F164" s="198">
        <v>1.32E-2</v>
      </c>
      <c r="G164" s="150">
        <v>16.2</v>
      </c>
      <c r="H164" s="150">
        <f t="shared" si="7"/>
        <v>0.21384</v>
      </c>
    </row>
    <row r="165" spans="1:8" ht="45.75" x14ac:dyDescent="0.25">
      <c r="A165" s="147" t="s">
        <v>1029</v>
      </c>
      <c r="B165" s="147" t="s">
        <v>25</v>
      </c>
      <c r="C165" s="147">
        <v>93282</v>
      </c>
      <c r="D165" s="171" t="s">
        <v>1141</v>
      </c>
      <c r="E165" s="147" t="s">
        <v>1111</v>
      </c>
      <c r="F165" s="198">
        <v>1.83E-2</v>
      </c>
      <c r="G165" s="150">
        <v>15.49</v>
      </c>
      <c r="H165" s="150">
        <f t="shared" si="7"/>
        <v>0.28346700000000002</v>
      </c>
    </row>
    <row r="166" spans="1:8" x14ac:dyDescent="0.25">
      <c r="A166" s="152"/>
      <c r="B166" s="140"/>
      <c r="C166" s="140"/>
      <c r="D166" s="140"/>
      <c r="E166" s="137"/>
      <c r="F166" s="158"/>
      <c r="G166" s="140"/>
      <c r="H166" s="182">
        <f>SUM(H157:H165)</f>
        <v>49.588311000000004</v>
      </c>
    </row>
    <row r="167" spans="1:8" x14ac:dyDescent="0.25">
      <c r="A167" s="152"/>
      <c r="B167" s="140"/>
      <c r="C167" s="140"/>
      <c r="D167" s="140"/>
      <c r="E167" s="137"/>
      <c r="F167" s="158"/>
      <c r="G167" s="140"/>
      <c r="H167" s="177"/>
    </row>
    <row r="168" spans="1:8" ht="34.5" x14ac:dyDescent="0.25">
      <c r="A168" s="141" t="s">
        <v>643</v>
      </c>
      <c r="B168" s="141" t="s">
        <v>14</v>
      </c>
      <c r="C168" s="142" t="s">
        <v>13</v>
      </c>
      <c r="D168" s="164" t="s">
        <v>644</v>
      </c>
      <c r="E168" s="141" t="s">
        <v>46</v>
      </c>
      <c r="F168" s="145" t="s">
        <v>1025</v>
      </c>
      <c r="G168" s="142" t="s">
        <v>1026</v>
      </c>
      <c r="H168" s="146" t="s">
        <v>1027</v>
      </c>
    </row>
    <row r="169" spans="1:8" ht="56.25" x14ac:dyDescent="0.25">
      <c r="A169" s="184" t="s">
        <v>1032</v>
      </c>
      <c r="B169" s="147" t="s">
        <v>25</v>
      </c>
      <c r="C169" s="184">
        <v>4384</v>
      </c>
      <c r="D169" s="161" t="s">
        <v>1142</v>
      </c>
      <c r="E169" s="147" t="s">
        <v>46</v>
      </c>
      <c r="F169" s="199">
        <v>2</v>
      </c>
      <c r="G169" s="150">
        <v>13.5</v>
      </c>
      <c r="H169" s="150">
        <f>G169*F169</f>
        <v>27</v>
      </c>
    </row>
    <row r="170" spans="1:8" ht="22.5" x14ac:dyDescent="0.25">
      <c r="A170" s="184" t="s">
        <v>1032</v>
      </c>
      <c r="B170" s="147" t="s">
        <v>25</v>
      </c>
      <c r="C170" s="184">
        <v>6138</v>
      </c>
      <c r="D170" s="161" t="s">
        <v>1143</v>
      </c>
      <c r="E170" s="147" t="s">
        <v>46</v>
      </c>
      <c r="F170" s="199">
        <v>1</v>
      </c>
      <c r="G170" s="150">
        <v>1.6</v>
      </c>
      <c r="H170" s="150">
        <f>G170*F170</f>
        <v>1.6</v>
      </c>
    </row>
    <row r="171" spans="1:8" x14ac:dyDescent="0.25">
      <c r="A171" s="184" t="s">
        <v>1032</v>
      </c>
      <c r="B171" s="147" t="s">
        <v>25</v>
      </c>
      <c r="C171" s="184">
        <v>37329</v>
      </c>
      <c r="D171" s="185" t="s">
        <v>1144</v>
      </c>
      <c r="E171" s="147" t="s">
        <v>125</v>
      </c>
      <c r="F171" s="199">
        <v>0.1469</v>
      </c>
      <c r="G171" s="150">
        <v>48.73</v>
      </c>
      <c r="H171" s="150">
        <f>F171*G171</f>
        <v>7.1584369999999993</v>
      </c>
    </row>
    <row r="172" spans="1:8" ht="33.75" x14ac:dyDescent="0.25">
      <c r="A172" s="184" t="s">
        <v>1029</v>
      </c>
      <c r="B172" s="147" t="s">
        <v>25</v>
      </c>
      <c r="C172" s="184">
        <v>88267</v>
      </c>
      <c r="D172" s="148" t="s">
        <v>1145</v>
      </c>
      <c r="E172" s="147" t="s">
        <v>997</v>
      </c>
      <c r="F172" s="199">
        <v>0.78</v>
      </c>
      <c r="G172" s="150">
        <v>20.81</v>
      </c>
      <c r="H172" s="150">
        <f>F172*G172</f>
        <v>16.2318</v>
      </c>
    </row>
    <row r="173" spans="1:8" ht="22.5" x14ac:dyDescent="0.25">
      <c r="A173" s="184" t="s">
        <v>1029</v>
      </c>
      <c r="B173" s="147" t="s">
        <v>25</v>
      </c>
      <c r="C173" s="184">
        <v>88316</v>
      </c>
      <c r="D173" s="148" t="s">
        <v>1138</v>
      </c>
      <c r="E173" s="147" t="s">
        <v>997</v>
      </c>
      <c r="F173" s="199">
        <v>0.5</v>
      </c>
      <c r="G173" s="150">
        <v>16.43</v>
      </c>
      <c r="H173" s="150">
        <f>F173*G173</f>
        <v>8.2149999999999999</v>
      </c>
    </row>
    <row r="174" spans="1:8" x14ac:dyDescent="0.25">
      <c r="A174" s="152"/>
      <c r="B174" s="140"/>
      <c r="C174" s="140"/>
      <c r="D174" s="140"/>
      <c r="E174" s="137"/>
      <c r="F174" s="200"/>
      <c r="G174" s="177"/>
      <c r="H174" s="182">
        <f>SUM(H169:H173)</f>
        <v>60.205236999999997</v>
      </c>
    </row>
    <row r="175" spans="1:8" x14ac:dyDescent="0.25">
      <c r="A175" s="152"/>
      <c r="B175" s="140"/>
      <c r="C175" s="140"/>
      <c r="D175" s="140"/>
      <c r="E175" s="137"/>
      <c r="F175" s="158"/>
      <c r="G175" s="140"/>
      <c r="H175" s="177"/>
    </row>
    <row r="176" spans="1:8" ht="34.5" x14ac:dyDescent="0.25">
      <c r="A176" s="141" t="s">
        <v>648</v>
      </c>
      <c r="B176" s="141" t="s">
        <v>14</v>
      </c>
      <c r="C176" s="142" t="s">
        <v>13</v>
      </c>
      <c r="D176" s="164" t="s">
        <v>649</v>
      </c>
      <c r="E176" s="141" t="s">
        <v>46</v>
      </c>
      <c r="F176" s="145" t="s">
        <v>1025</v>
      </c>
      <c r="G176" s="142" t="s">
        <v>1026</v>
      </c>
      <c r="H176" s="146" t="s">
        <v>1027</v>
      </c>
    </row>
    <row r="177" spans="1:8" ht="56.25" x14ac:dyDescent="0.25">
      <c r="A177" s="184" t="s">
        <v>1032</v>
      </c>
      <c r="B177" s="147" t="s">
        <v>25</v>
      </c>
      <c r="C177" s="184">
        <v>4351</v>
      </c>
      <c r="D177" s="161" t="s">
        <v>1146</v>
      </c>
      <c r="E177" s="147" t="s">
        <v>46</v>
      </c>
      <c r="F177" s="199">
        <v>6</v>
      </c>
      <c r="G177" s="150">
        <v>10.01</v>
      </c>
      <c r="H177" s="150">
        <f>G177*F177</f>
        <v>60.06</v>
      </c>
    </row>
    <row r="178" spans="1:8" ht="22.5" x14ac:dyDescent="0.25">
      <c r="A178" s="184" t="s">
        <v>1032</v>
      </c>
      <c r="B178" s="147" t="s">
        <v>25</v>
      </c>
      <c r="C178" s="184">
        <v>6138</v>
      </c>
      <c r="D178" s="161" t="s">
        <v>1143</v>
      </c>
      <c r="E178" s="147" t="s">
        <v>46</v>
      </c>
      <c r="F178" s="199">
        <v>1</v>
      </c>
      <c r="G178" s="150">
        <v>1.6</v>
      </c>
      <c r="H178" s="150">
        <f>G178*F178</f>
        <v>1.6</v>
      </c>
    </row>
    <row r="179" spans="1:8" x14ac:dyDescent="0.25">
      <c r="A179" s="184" t="s">
        <v>1032</v>
      </c>
      <c r="B179" s="147" t="s">
        <v>25</v>
      </c>
      <c r="C179" s="184">
        <v>37329</v>
      </c>
      <c r="D179" s="185" t="s">
        <v>1144</v>
      </c>
      <c r="E179" s="147" t="s">
        <v>125</v>
      </c>
      <c r="F179" s="199">
        <v>0.14430000000000001</v>
      </c>
      <c r="G179" s="150">
        <v>48.73</v>
      </c>
      <c r="H179" s="150">
        <f>F179*G179</f>
        <v>7.031739</v>
      </c>
    </row>
    <row r="180" spans="1:8" ht="33.75" x14ac:dyDescent="0.25">
      <c r="A180" s="184" t="s">
        <v>1029</v>
      </c>
      <c r="B180" s="147" t="s">
        <v>25</v>
      </c>
      <c r="C180" s="184">
        <v>88267</v>
      </c>
      <c r="D180" s="148" t="s">
        <v>1145</v>
      </c>
      <c r="E180" s="147" t="s">
        <v>997</v>
      </c>
      <c r="F180" s="199">
        <v>1.47</v>
      </c>
      <c r="G180" s="150">
        <v>20.81</v>
      </c>
      <c r="H180" s="150">
        <f>F180*G180</f>
        <v>30.590699999999998</v>
      </c>
    </row>
    <row r="181" spans="1:8" ht="22.5" x14ac:dyDescent="0.25">
      <c r="A181" s="184" t="s">
        <v>1029</v>
      </c>
      <c r="B181" s="147" t="s">
        <v>25</v>
      </c>
      <c r="C181" s="184">
        <v>88316</v>
      </c>
      <c r="D181" s="148" t="s">
        <v>1138</v>
      </c>
      <c r="E181" s="147" t="s">
        <v>997</v>
      </c>
      <c r="F181" s="199">
        <v>0.65</v>
      </c>
      <c r="G181" s="150">
        <v>16.43</v>
      </c>
      <c r="H181" s="150">
        <f>F181*G181</f>
        <v>10.679500000000001</v>
      </c>
    </row>
    <row r="182" spans="1:8" x14ac:dyDescent="0.25">
      <c r="A182" s="152"/>
      <c r="B182" s="140"/>
      <c r="C182" s="140"/>
      <c r="D182" s="140"/>
      <c r="E182" s="137"/>
      <c r="F182" s="200"/>
      <c r="G182" s="150"/>
      <c r="H182" s="182">
        <f>SUM(H177:H181)</f>
        <v>109.961939</v>
      </c>
    </row>
    <row r="183" spans="1:8" x14ac:dyDescent="0.25">
      <c r="A183" s="152"/>
      <c r="B183" s="140"/>
      <c r="C183" s="140"/>
      <c r="D183" s="140"/>
      <c r="E183" s="137"/>
      <c r="F183" s="158"/>
      <c r="G183" s="140"/>
      <c r="H183" s="177"/>
    </row>
    <row r="184" spans="1:8" ht="45.75" x14ac:dyDescent="0.25">
      <c r="A184" s="141" t="s">
        <v>214</v>
      </c>
      <c r="B184" s="141" t="s">
        <v>14</v>
      </c>
      <c r="C184" s="142" t="s">
        <v>13</v>
      </c>
      <c r="D184" s="164" t="s">
        <v>215</v>
      </c>
      <c r="E184" s="141" t="s">
        <v>27</v>
      </c>
      <c r="F184" s="145" t="s">
        <v>1025</v>
      </c>
      <c r="G184" s="142" t="s">
        <v>1026</v>
      </c>
      <c r="H184" s="146" t="s">
        <v>1027</v>
      </c>
    </row>
    <row r="185" spans="1:8" ht="45" x14ac:dyDescent="0.25">
      <c r="A185" s="184" t="s">
        <v>1032</v>
      </c>
      <c r="B185" s="147" t="s">
        <v>25</v>
      </c>
      <c r="C185" s="184">
        <v>7568</v>
      </c>
      <c r="D185" s="161" t="s">
        <v>1147</v>
      </c>
      <c r="E185" s="147" t="s">
        <v>46</v>
      </c>
      <c r="F185" s="201">
        <v>6</v>
      </c>
      <c r="G185" s="150">
        <v>0.49</v>
      </c>
      <c r="H185" s="150">
        <f>G185*F185</f>
        <v>2.94</v>
      </c>
    </row>
    <row r="186" spans="1:8" ht="33.75" x14ac:dyDescent="0.25">
      <c r="A186" s="184" t="s">
        <v>1032</v>
      </c>
      <c r="B186" s="147" t="s">
        <v>25</v>
      </c>
      <c r="C186" s="184">
        <v>37591</v>
      </c>
      <c r="D186" s="161" t="s">
        <v>1148</v>
      </c>
      <c r="E186" s="147" t="s">
        <v>46</v>
      </c>
      <c r="F186" s="201">
        <v>2</v>
      </c>
      <c r="G186" s="150">
        <v>37.24</v>
      </c>
      <c r="H186" s="150">
        <f>G186*F186</f>
        <v>74.48</v>
      </c>
    </row>
    <row r="187" spans="1:8" x14ac:dyDescent="0.25">
      <c r="A187" s="184" t="s">
        <v>1032</v>
      </c>
      <c r="B187" s="147" t="s">
        <v>25</v>
      </c>
      <c r="C187" s="184">
        <v>37329</v>
      </c>
      <c r="D187" s="185" t="s">
        <v>1144</v>
      </c>
      <c r="E187" s="147" t="s">
        <v>125</v>
      </c>
      <c r="F187" s="199">
        <v>0.14430000000000001</v>
      </c>
      <c r="G187" s="150">
        <v>48.73</v>
      </c>
      <c r="H187" s="150">
        <f>F187*G187</f>
        <v>7.031739</v>
      </c>
    </row>
    <row r="188" spans="1:8" ht="33.75" x14ac:dyDescent="0.25">
      <c r="A188" s="184" t="s">
        <v>1032</v>
      </c>
      <c r="B188" s="147" t="s">
        <v>25</v>
      </c>
      <c r="C188" s="184">
        <v>25931</v>
      </c>
      <c r="D188" s="148" t="s">
        <v>1149</v>
      </c>
      <c r="E188" s="147" t="s">
        <v>46</v>
      </c>
      <c r="F188" s="201">
        <v>7.2000000000000002E-5</v>
      </c>
      <c r="G188" s="150">
        <v>98.55</v>
      </c>
      <c r="H188" s="150">
        <f>F188*G188</f>
        <v>7.0955999999999997E-3</v>
      </c>
    </row>
    <row r="189" spans="1:8" ht="22.5" x14ac:dyDescent="0.25">
      <c r="A189" s="184" t="s">
        <v>1029</v>
      </c>
      <c r="B189" s="147" t="s">
        <v>25</v>
      </c>
      <c r="C189" s="184">
        <v>88274</v>
      </c>
      <c r="D189" s="148" t="s">
        <v>1150</v>
      </c>
      <c r="E189" s="147" t="s">
        <v>997</v>
      </c>
      <c r="F189" s="201">
        <v>0.65</v>
      </c>
      <c r="G189" s="150">
        <v>20.58</v>
      </c>
      <c r="H189" s="150">
        <f>F189*G189</f>
        <v>13.376999999999999</v>
      </c>
    </row>
    <row r="190" spans="1:8" ht="22.5" x14ac:dyDescent="0.25">
      <c r="A190" s="184" t="s">
        <v>1029</v>
      </c>
      <c r="B190" s="147" t="s">
        <v>25</v>
      </c>
      <c r="C190" s="184">
        <v>88316</v>
      </c>
      <c r="D190" s="161" t="s">
        <v>1138</v>
      </c>
      <c r="E190" s="147" t="s">
        <v>997</v>
      </c>
      <c r="F190" s="198">
        <v>0.20699999999999999</v>
      </c>
      <c r="G190" s="150">
        <v>16.43</v>
      </c>
      <c r="H190" s="150">
        <f>F190*G190</f>
        <v>3.4010099999999999</v>
      </c>
    </row>
    <row r="191" spans="1:8" x14ac:dyDescent="0.25">
      <c r="A191" s="152"/>
      <c r="B191" s="140"/>
      <c r="C191" s="140"/>
      <c r="D191" s="140"/>
      <c r="E191" s="137"/>
      <c r="F191" s="202"/>
      <c r="G191" s="177"/>
      <c r="H191" s="182">
        <f>SUM(H185:H190)</f>
        <v>101.2368446</v>
      </c>
    </row>
    <row r="192" spans="1:8" x14ac:dyDescent="0.25">
      <c r="A192" s="152"/>
      <c r="B192" s="140"/>
      <c r="C192" s="140"/>
      <c r="D192" s="140"/>
      <c r="E192" s="137"/>
      <c r="F192" s="203"/>
      <c r="G192" s="140"/>
      <c r="H192" s="177"/>
    </row>
    <row r="193" spans="1:8" ht="34.5" x14ac:dyDescent="0.25">
      <c r="A193" s="141" t="s">
        <v>538</v>
      </c>
      <c r="B193" s="141" t="s">
        <v>14</v>
      </c>
      <c r="C193" s="142" t="s">
        <v>13</v>
      </c>
      <c r="D193" s="164" t="s">
        <v>539</v>
      </c>
      <c r="E193" s="141" t="s">
        <v>46</v>
      </c>
      <c r="F193" s="204" t="s">
        <v>1025</v>
      </c>
      <c r="G193" s="142" t="s">
        <v>1026</v>
      </c>
      <c r="H193" s="146" t="s">
        <v>1027</v>
      </c>
    </row>
    <row r="194" spans="1:8" ht="22.5" x14ac:dyDescent="0.25">
      <c r="A194" s="184" t="s">
        <v>1032</v>
      </c>
      <c r="B194" s="205" t="s">
        <v>25</v>
      </c>
      <c r="C194" s="147" t="s">
        <v>1151</v>
      </c>
      <c r="D194" s="206" t="s">
        <v>1152</v>
      </c>
      <c r="E194" s="147" t="s">
        <v>46</v>
      </c>
      <c r="F194" s="201" t="s">
        <v>1153</v>
      </c>
      <c r="G194" s="150">
        <v>50.58</v>
      </c>
      <c r="H194" s="150">
        <f t="shared" ref="H194:H199" si="8">F194*G194</f>
        <v>0.91043999999999992</v>
      </c>
    </row>
    <row r="195" spans="1:8" ht="33.75" x14ac:dyDescent="0.25">
      <c r="A195" s="184" t="s">
        <v>1032</v>
      </c>
      <c r="B195" s="205" t="s">
        <v>25</v>
      </c>
      <c r="C195" s="147">
        <v>39319</v>
      </c>
      <c r="D195" s="206" t="s">
        <v>1154</v>
      </c>
      <c r="E195" s="147" t="s">
        <v>46</v>
      </c>
      <c r="F195" s="201" t="s">
        <v>1101</v>
      </c>
      <c r="G195" s="150">
        <v>3.67</v>
      </c>
      <c r="H195" s="150">
        <f t="shared" si="8"/>
        <v>3.67</v>
      </c>
    </row>
    <row r="196" spans="1:8" ht="22.5" x14ac:dyDescent="0.25">
      <c r="A196" s="184" t="s">
        <v>1032</v>
      </c>
      <c r="B196" s="205" t="s">
        <v>25</v>
      </c>
      <c r="C196" s="147" t="s">
        <v>1155</v>
      </c>
      <c r="D196" s="206" t="s">
        <v>1156</v>
      </c>
      <c r="E196" s="147" t="s">
        <v>46</v>
      </c>
      <c r="F196" s="201" t="s">
        <v>1157</v>
      </c>
      <c r="G196" s="150">
        <v>43.93</v>
      </c>
      <c r="H196" s="150">
        <f t="shared" si="8"/>
        <v>0.96645999999999999</v>
      </c>
    </row>
    <row r="197" spans="1:8" x14ac:dyDescent="0.25">
      <c r="A197" s="184" t="s">
        <v>1032</v>
      </c>
      <c r="B197" s="205" t="s">
        <v>25</v>
      </c>
      <c r="C197" s="147" t="s">
        <v>1158</v>
      </c>
      <c r="D197" s="206" t="s">
        <v>1159</v>
      </c>
      <c r="E197" s="147" t="s">
        <v>46</v>
      </c>
      <c r="F197" s="201" t="s">
        <v>1160</v>
      </c>
      <c r="G197" s="150">
        <v>1.68</v>
      </c>
      <c r="H197" s="150">
        <f t="shared" si="8"/>
        <v>4.0320000000000002E-2</v>
      </c>
    </row>
    <row r="198" spans="1:8" ht="33.75" x14ac:dyDescent="0.25">
      <c r="A198" s="147" t="s">
        <v>1029</v>
      </c>
      <c r="B198" s="205" t="s">
        <v>25</v>
      </c>
      <c r="C198" s="147" t="s">
        <v>1161</v>
      </c>
      <c r="D198" s="206" t="s">
        <v>1162</v>
      </c>
      <c r="E198" s="147" t="s">
        <v>997</v>
      </c>
      <c r="F198" s="201" t="s">
        <v>1163</v>
      </c>
      <c r="G198" s="150">
        <v>16.21</v>
      </c>
      <c r="H198" s="150">
        <f t="shared" si="8"/>
        <v>1.1671199999999999</v>
      </c>
    </row>
    <row r="199" spans="1:8" ht="33.75" x14ac:dyDescent="0.25">
      <c r="A199" s="147" t="s">
        <v>1029</v>
      </c>
      <c r="B199" s="205" t="s">
        <v>25</v>
      </c>
      <c r="C199" s="147" t="s">
        <v>1164</v>
      </c>
      <c r="D199" s="206" t="s">
        <v>1145</v>
      </c>
      <c r="E199" s="147" t="s">
        <v>997</v>
      </c>
      <c r="F199" s="201" t="s">
        <v>1163</v>
      </c>
      <c r="G199" s="150">
        <v>20.81</v>
      </c>
      <c r="H199" s="150">
        <f t="shared" si="8"/>
        <v>1.4983199999999999</v>
      </c>
    </row>
    <row r="200" spans="1:8" x14ac:dyDescent="0.25">
      <c r="A200" s="152"/>
      <c r="B200" s="140"/>
      <c r="C200" s="140"/>
      <c r="D200" s="140"/>
      <c r="E200" s="137"/>
      <c r="F200" s="203"/>
      <c r="G200" s="155"/>
      <c r="H200" s="182">
        <f>SUM(H194:H199)</f>
        <v>8.2526599999999988</v>
      </c>
    </row>
    <row r="201" spans="1:8" x14ac:dyDescent="0.25">
      <c r="A201" s="152"/>
      <c r="B201" s="140"/>
      <c r="C201" s="140"/>
      <c r="D201" s="140"/>
      <c r="E201" s="137"/>
      <c r="F201" s="203"/>
      <c r="G201" s="140"/>
      <c r="H201" s="177"/>
    </row>
    <row r="202" spans="1:8" ht="34.5" x14ac:dyDescent="0.25">
      <c r="A202" s="141" t="s">
        <v>581</v>
      </c>
      <c r="B202" s="141" t="s">
        <v>14</v>
      </c>
      <c r="C202" s="142" t="s">
        <v>13</v>
      </c>
      <c r="D202" s="164" t="s">
        <v>582</v>
      </c>
      <c r="E202" s="141" t="s">
        <v>46</v>
      </c>
      <c r="F202" s="204" t="s">
        <v>1025</v>
      </c>
      <c r="G202" s="142" t="s">
        <v>1026</v>
      </c>
      <c r="H202" s="146" t="s">
        <v>1027</v>
      </c>
    </row>
    <row r="203" spans="1:8" ht="22.5" x14ac:dyDescent="0.25">
      <c r="A203" s="184" t="s">
        <v>1032</v>
      </c>
      <c r="B203" s="147" t="s">
        <v>25</v>
      </c>
      <c r="C203" s="147" t="s">
        <v>1165</v>
      </c>
      <c r="D203" s="206" t="s">
        <v>1166</v>
      </c>
      <c r="E203" s="147" t="s">
        <v>46</v>
      </c>
      <c r="F203" s="201" t="s">
        <v>1167</v>
      </c>
      <c r="G203" s="150">
        <v>3</v>
      </c>
      <c r="H203" s="150">
        <f>F203*G203</f>
        <v>9.1200000000000003E-2</v>
      </c>
    </row>
    <row r="204" spans="1:8" ht="33.75" x14ac:dyDescent="0.25">
      <c r="A204" s="184" t="s">
        <v>1032</v>
      </c>
      <c r="B204" s="147" t="s">
        <v>25</v>
      </c>
      <c r="C204" s="147">
        <v>1370</v>
      </c>
      <c r="D204" s="206" t="s">
        <v>1168</v>
      </c>
      <c r="E204" s="147" t="s">
        <v>46</v>
      </c>
      <c r="F204" s="201" t="s">
        <v>1101</v>
      </c>
      <c r="G204" s="150">
        <v>80.34</v>
      </c>
      <c r="H204" s="150">
        <f>F204*G204</f>
        <v>80.34</v>
      </c>
    </row>
    <row r="205" spans="1:8" ht="33.75" x14ac:dyDescent="0.25">
      <c r="A205" s="184" t="s">
        <v>1029</v>
      </c>
      <c r="B205" s="205" t="s">
        <v>25</v>
      </c>
      <c r="C205" s="207" t="s">
        <v>1164</v>
      </c>
      <c r="D205" s="208" t="s">
        <v>1145</v>
      </c>
      <c r="E205" s="147" t="s">
        <v>997</v>
      </c>
      <c r="F205" s="209">
        <v>0.17</v>
      </c>
      <c r="G205" s="150">
        <v>20.81</v>
      </c>
      <c r="H205" s="150">
        <f>F205*G205</f>
        <v>3.5377000000000001</v>
      </c>
    </row>
    <row r="206" spans="1:8" ht="22.5" x14ac:dyDescent="0.25">
      <c r="A206" s="184" t="s">
        <v>1029</v>
      </c>
      <c r="B206" s="147" t="s">
        <v>25</v>
      </c>
      <c r="C206" s="184">
        <v>88316</v>
      </c>
      <c r="D206" s="161" t="s">
        <v>1138</v>
      </c>
      <c r="E206" s="147" t="s">
        <v>997</v>
      </c>
      <c r="F206" s="209">
        <v>0.05</v>
      </c>
      <c r="G206" s="150">
        <v>16.43</v>
      </c>
      <c r="H206" s="150">
        <f>F206*G206</f>
        <v>0.82150000000000001</v>
      </c>
    </row>
    <row r="207" spans="1:8" x14ac:dyDescent="0.25">
      <c r="A207" s="152"/>
      <c r="B207" s="140"/>
      <c r="C207" s="140"/>
      <c r="D207" s="140"/>
      <c r="E207" s="137"/>
      <c r="F207" s="203"/>
      <c r="G207" s="140"/>
      <c r="H207" s="182">
        <f>SUM(H203:H206)</f>
        <v>84.790400000000005</v>
      </c>
    </row>
    <row r="208" spans="1:8" x14ac:dyDescent="0.25">
      <c r="A208" s="152"/>
      <c r="B208" s="140"/>
      <c r="C208" s="140"/>
      <c r="D208" s="140"/>
      <c r="E208" s="137"/>
      <c r="F208" s="203"/>
      <c r="G208" s="140"/>
      <c r="H208" s="210"/>
    </row>
    <row r="209" spans="1:8" ht="22.5" x14ac:dyDescent="0.25">
      <c r="A209" s="141" t="s">
        <v>629</v>
      </c>
      <c r="B209" s="141" t="s">
        <v>14</v>
      </c>
      <c r="C209" s="142" t="s">
        <v>13</v>
      </c>
      <c r="D209" s="142" t="s">
        <v>630</v>
      </c>
      <c r="E209" s="141" t="s">
        <v>46</v>
      </c>
      <c r="F209" s="204" t="s">
        <v>1025</v>
      </c>
      <c r="G209" s="142" t="s">
        <v>1026</v>
      </c>
      <c r="H209" s="146" t="s">
        <v>1027</v>
      </c>
    </row>
    <row r="210" spans="1:8" ht="22.5" x14ac:dyDescent="0.25">
      <c r="A210" s="184" t="s">
        <v>1032</v>
      </c>
      <c r="B210" s="147" t="s">
        <v>25</v>
      </c>
      <c r="C210" s="147" t="s">
        <v>1165</v>
      </c>
      <c r="D210" s="206" t="s">
        <v>1169</v>
      </c>
      <c r="E210" s="147" t="s">
        <v>46</v>
      </c>
      <c r="F210" s="201" t="s">
        <v>1167</v>
      </c>
      <c r="G210" s="150">
        <v>3</v>
      </c>
      <c r="H210" s="150">
        <f>F210*G210</f>
        <v>9.1200000000000003E-2</v>
      </c>
    </row>
    <row r="211" spans="1:8" ht="22.5" x14ac:dyDescent="0.25">
      <c r="A211" s="184" t="s">
        <v>1032</v>
      </c>
      <c r="B211" s="147" t="s">
        <v>25</v>
      </c>
      <c r="C211" s="147">
        <v>4896</v>
      </c>
      <c r="D211" s="206" t="s">
        <v>1170</v>
      </c>
      <c r="E211" s="147" t="s">
        <v>46</v>
      </c>
      <c r="F211" s="201" t="s">
        <v>1101</v>
      </c>
      <c r="G211" s="150">
        <v>0.51</v>
      </c>
      <c r="H211" s="150">
        <f>F211*G211</f>
        <v>0.51</v>
      </c>
    </row>
    <row r="212" spans="1:8" ht="33.75" x14ac:dyDescent="0.25">
      <c r="A212" s="147" t="s">
        <v>1029</v>
      </c>
      <c r="B212" s="205" t="s">
        <v>25</v>
      </c>
      <c r="C212" s="207" t="s">
        <v>1164</v>
      </c>
      <c r="D212" s="208" t="s">
        <v>1145</v>
      </c>
      <c r="E212" s="207" t="s">
        <v>997</v>
      </c>
      <c r="F212" s="209">
        <v>8.5999999999999993E-2</v>
      </c>
      <c r="G212" s="150">
        <v>20.81</v>
      </c>
      <c r="H212" s="150">
        <f>F212*G212</f>
        <v>1.7896599999999998</v>
      </c>
    </row>
    <row r="213" spans="1:8" ht="22.5" x14ac:dyDescent="0.25">
      <c r="A213" s="184" t="s">
        <v>1029</v>
      </c>
      <c r="B213" s="147" t="s">
        <v>25</v>
      </c>
      <c r="C213" s="184">
        <v>88316</v>
      </c>
      <c r="D213" s="161" t="s">
        <v>1138</v>
      </c>
      <c r="E213" s="147" t="s">
        <v>997</v>
      </c>
      <c r="F213" s="209">
        <v>8.5999999999999993E-2</v>
      </c>
      <c r="G213" s="150">
        <v>16.43</v>
      </c>
      <c r="H213" s="150">
        <f>F213*G213</f>
        <v>1.4129799999999999</v>
      </c>
    </row>
    <row r="214" spans="1:8" x14ac:dyDescent="0.25">
      <c r="A214" s="152"/>
      <c r="B214" s="140"/>
      <c r="C214" s="140"/>
      <c r="D214" s="140"/>
      <c r="E214" s="137"/>
      <c r="F214" s="203"/>
      <c r="G214" s="140"/>
      <c r="H214" s="182">
        <f>SUM(H210:H213)</f>
        <v>3.8038400000000001</v>
      </c>
    </row>
    <row r="215" spans="1:8" x14ac:dyDescent="0.25">
      <c r="A215" s="152"/>
      <c r="B215" s="140"/>
      <c r="C215" s="140"/>
      <c r="D215" s="140"/>
      <c r="E215" s="137"/>
      <c r="F215" s="203"/>
      <c r="G215" s="140"/>
      <c r="H215" s="23"/>
    </row>
    <row r="216" spans="1:8" x14ac:dyDescent="0.25">
      <c r="A216" s="152"/>
      <c r="B216" s="140"/>
      <c r="C216" s="140"/>
      <c r="D216" s="140"/>
      <c r="E216" s="137"/>
      <c r="F216" s="203"/>
      <c r="G216" s="140"/>
      <c r="H216" s="23"/>
    </row>
    <row r="217" spans="1:8" x14ac:dyDescent="0.25">
      <c r="A217" s="152"/>
      <c r="B217" s="140"/>
      <c r="C217" s="140"/>
      <c r="D217" s="140"/>
      <c r="E217" s="137"/>
      <c r="F217" s="203"/>
      <c r="G217" s="140"/>
      <c r="H217" s="23"/>
    </row>
    <row r="218" spans="1:8" ht="34.5" x14ac:dyDescent="0.25">
      <c r="A218" s="141" t="s">
        <v>635</v>
      </c>
      <c r="B218" s="141" t="s">
        <v>14</v>
      </c>
      <c r="C218" s="142" t="s">
        <v>13</v>
      </c>
      <c r="D218" s="164" t="s">
        <v>636</v>
      </c>
      <c r="E218" s="141" t="s">
        <v>46</v>
      </c>
      <c r="F218" s="204" t="s">
        <v>1025</v>
      </c>
      <c r="G218" s="142" t="s">
        <v>1026</v>
      </c>
      <c r="H218" s="146" t="s">
        <v>1027</v>
      </c>
    </row>
    <row r="219" spans="1:8" ht="33.75" x14ac:dyDescent="0.25">
      <c r="A219" s="184" t="s">
        <v>1032</v>
      </c>
      <c r="B219" s="147" t="s">
        <v>25</v>
      </c>
      <c r="C219" s="147">
        <v>36220</v>
      </c>
      <c r="D219" s="206" t="s">
        <v>1171</v>
      </c>
      <c r="E219" s="147" t="s">
        <v>46</v>
      </c>
      <c r="F219" s="201">
        <v>1</v>
      </c>
      <c r="G219" s="150">
        <v>109.09</v>
      </c>
      <c r="H219" s="150">
        <f>F219*G219</f>
        <v>109.09</v>
      </c>
    </row>
    <row r="220" spans="1:8" ht="45" x14ac:dyDescent="0.25">
      <c r="A220" s="184" t="s">
        <v>1032</v>
      </c>
      <c r="B220" s="147" t="s">
        <v>25</v>
      </c>
      <c r="C220" s="147">
        <v>7583</v>
      </c>
      <c r="D220" s="206" t="s">
        <v>1172</v>
      </c>
      <c r="E220" s="147" t="s">
        <v>46</v>
      </c>
      <c r="F220" s="201">
        <v>6</v>
      </c>
      <c r="G220" s="150">
        <v>0.33</v>
      </c>
      <c r="H220" s="150">
        <f>F220*G220</f>
        <v>1.98</v>
      </c>
    </row>
    <row r="221" spans="1:8" ht="22.5" x14ac:dyDescent="0.25">
      <c r="A221" s="147" t="s">
        <v>1029</v>
      </c>
      <c r="B221" s="205" t="s">
        <v>25</v>
      </c>
      <c r="C221" s="211">
        <v>88309</v>
      </c>
      <c r="D221" s="208" t="s">
        <v>1173</v>
      </c>
      <c r="E221" s="207" t="s">
        <v>997</v>
      </c>
      <c r="F221" s="212">
        <v>1</v>
      </c>
      <c r="G221" s="150">
        <v>20.329999999999998</v>
      </c>
      <c r="H221" s="150">
        <f>F221*G221</f>
        <v>20.329999999999998</v>
      </c>
    </row>
    <row r="222" spans="1:8" ht="22.5" x14ac:dyDescent="0.25">
      <c r="A222" s="184" t="s">
        <v>1029</v>
      </c>
      <c r="B222" s="147" t="s">
        <v>25</v>
      </c>
      <c r="C222" s="184">
        <v>88316</v>
      </c>
      <c r="D222" s="161" t="s">
        <v>1138</v>
      </c>
      <c r="E222" s="147" t="s">
        <v>997</v>
      </c>
      <c r="F222" s="212">
        <v>1</v>
      </c>
      <c r="G222" s="150">
        <v>16.43</v>
      </c>
      <c r="H222" s="150">
        <f>F222*G222</f>
        <v>16.43</v>
      </c>
    </row>
    <row r="223" spans="1:8" x14ac:dyDescent="0.25">
      <c r="A223" s="152"/>
      <c r="B223" s="140"/>
      <c r="C223" s="140"/>
      <c r="D223" s="140"/>
      <c r="E223" s="137"/>
      <c r="F223" s="203"/>
      <c r="G223" s="140"/>
      <c r="H223" s="213">
        <f>SUM(H219:H222)</f>
        <v>147.83000000000001</v>
      </c>
    </row>
    <row r="224" spans="1:8" x14ac:dyDescent="0.25">
      <c r="A224" s="152"/>
      <c r="B224" s="140"/>
      <c r="C224" s="140"/>
      <c r="D224" s="140"/>
      <c r="E224" s="137"/>
      <c r="F224" s="203"/>
      <c r="G224" s="140"/>
      <c r="H224" s="177"/>
    </row>
    <row r="225" spans="1:8" ht="34.5" x14ac:dyDescent="0.25">
      <c r="A225" s="141" t="s">
        <v>632</v>
      </c>
      <c r="B225" s="141" t="s">
        <v>14</v>
      </c>
      <c r="C225" s="142" t="s">
        <v>13</v>
      </c>
      <c r="D225" s="164" t="s">
        <v>633</v>
      </c>
      <c r="E225" s="141" t="s">
        <v>46</v>
      </c>
      <c r="F225" s="204" t="s">
        <v>1025</v>
      </c>
      <c r="G225" s="142" t="s">
        <v>1026</v>
      </c>
      <c r="H225" s="146" t="s">
        <v>1027</v>
      </c>
    </row>
    <row r="226" spans="1:8" ht="33.75" x14ac:dyDescent="0.25">
      <c r="A226" s="184" t="s">
        <v>1032</v>
      </c>
      <c r="B226" s="147" t="s">
        <v>25</v>
      </c>
      <c r="C226" s="147">
        <v>36220</v>
      </c>
      <c r="D226" s="206" t="s">
        <v>1174</v>
      </c>
      <c r="E226" s="147" t="s">
        <v>46</v>
      </c>
      <c r="F226" s="201">
        <v>1</v>
      </c>
      <c r="G226" s="150">
        <v>109.09</v>
      </c>
      <c r="H226" s="150">
        <f>F226*G226</f>
        <v>109.09</v>
      </c>
    </row>
    <row r="227" spans="1:8" ht="45" x14ac:dyDescent="0.25">
      <c r="A227" s="184" t="s">
        <v>1032</v>
      </c>
      <c r="B227" s="147" t="s">
        <v>25</v>
      </c>
      <c r="C227" s="147">
        <v>7583</v>
      </c>
      <c r="D227" s="206" t="s">
        <v>1172</v>
      </c>
      <c r="E227" s="147" t="s">
        <v>46</v>
      </c>
      <c r="F227" s="201">
        <v>6</v>
      </c>
      <c r="G227" s="150">
        <v>0.33</v>
      </c>
      <c r="H227" s="150">
        <f>F227*G227</f>
        <v>1.98</v>
      </c>
    </row>
    <row r="228" spans="1:8" ht="22.5" x14ac:dyDescent="0.25">
      <c r="A228" s="147" t="s">
        <v>1029</v>
      </c>
      <c r="B228" s="205" t="s">
        <v>25</v>
      </c>
      <c r="C228" s="211">
        <v>88309</v>
      </c>
      <c r="D228" s="208" t="s">
        <v>1173</v>
      </c>
      <c r="E228" s="207" t="s">
        <v>997</v>
      </c>
      <c r="F228" s="212">
        <v>1</v>
      </c>
      <c r="G228" s="150">
        <v>20.329999999999998</v>
      </c>
      <c r="H228" s="150">
        <f>F228*G228</f>
        <v>20.329999999999998</v>
      </c>
    </row>
    <row r="229" spans="1:8" ht="22.5" x14ac:dyDescent="0.25">
      <c r="A229" s="184" t="s">
        <v>1029</v>
      </c>
      <c r="B229" s="147" t="s">
        <v>25</v>
      </c>
      <c r="C229" s="184">
        <v>88316</v>
      </c>
      <c r="D229" s="161" t="s">
        <v>1138</v>
      </c>
      <c r="E229" s="147" t="s">
        <v>997</v>
      </c>
      <c r="F229" s="212">
        <v>1</v>
      </c>
      <c r="G229" s="150">
        <v>16.43</v>
      </c>
      <c r="H229" s="150">
        <f>F229*G229</f>
        <v>16.43</v>
      </c>
    </row>
    <row r="230" spans="1:8" x14ac:dyDescent="0.25">
      <c r="A230" s="152"/>
      <c r="B230" s="140"/>
      <c r="C230" s="140"/>
      <c r="D230" s="140"/>
      <c r="E230" s="137"/>
      <c r="F230" s="203"/>
      <c r="G230" s="140"/>
      <c r="H230" s="182">
        <f>SUM(H226:H229)</f>
        <v>147.83000000000001</v>
      </c>
    </row>
    <row r="231" spans="1:8" x14ac:dyDescent="0.25">
      <c r="A231" s="152"/>
      <c r="B231" s="140"/>
      <c r="C231" s="140"/>
      <c r="D231" s="140"/>
      <c r="E231" s="137"/>
      <c r="F231" s="158"/>
      <c r="G231" s="140"/>
      <c r="H231" s="177"/>
    </row>
    <row r="232" spans="1:8" ht="34.5" x14ac:dyDescent="0.25">
      <c r="A232" s="141" t="s">
        <v>638</v>
      </c>
      <c r="B232" s="141" t="s">
        <v>14</v>
      </c>
      <c r="C232" s="142" t="s">
        <v>13</v>
      </c>
      <c r="D232" s="164" t="s">
        <v>639</v>
      </c>
      <c r="E232" s="141" t="s">
        <v>46</v>
      </c>
      <c r="F232" s="204" t="s">
        <v>1025</v>
      </c>
      <c r="G232" s="142" t="s">
        <v>1026</v>
      </c>
      <c r="H232" s="146" t="s">
        <v>1027</v>
      </c>
    </row>
    <row r="233" spans="1:8" ht="33.75" x14ac:dyDescent="0.25">
      <c r="A233" s="184" t="s">
        <v>1032</v>
      </c>
      <c r="B233" s="147" t="s">
        <v>25</v>
      </c>
      <c r="C233" s="147">
        <v>36218</v>
      </c>
      <c r="D233" s="206" t="s">
        <v>1175</v>
      </c>
      <c r="E233" s="147" t="s">
        <v>46</v>
      </c>
      <c r="F233" s="201">
        <v>1</v>
      </c>
      <c r="G233" s="150">
        <v>95.14</v>
      </c>
      <c r="H233" s="150">
        <f>F233*G233</f>
        <v>95.14</v>
      </c>
    </row>
    <row r="234" spans="1:8" ht="45" x14ac:dyDescent="0.25">
      <c r="A234" s="184" t="s">
        <v>1032</v>
      </c>
      <c r="B234" s="147" t="s">
        <v>25</v>
      </c>
      <c r="C234" s="147">
        <v>7583</v>
      </c>
      <c r="D234" s="206" t="s">
        <v>1172</v>
      </c>
      <c r="E234" s="147" t="s">
        <v>46</v>
      </c>
      <c r="F234" s="201">
        <v>6</v>
      </c>
      <c r="G234" s="150">
        <v>0.33</v>
      </c>
      <c r="H234" s="150">
        <f>F234*G234</f>
        <v>1.98</v>
      </c>
    </row>
    <row r="235" spans="1:8" ht="22.5" x14ac:dyDescent="0.25">
      <c r="A235" s="147" t="s">
        <v>1029</v>
      </c>
      <c r="B235" s="205" t="s">
        <v>25</v>
      </c>
      <c r="C235" s="211">
        <v>88309</v>
      </c>
      <c r="D235" s="208" t="s">
        <v>1173</v>
      </c>
      <c r="E235" s="207" t="s">
        <v>997</v>
      </c>
      <c r="F235" s="212">
        <v>1</v>
      </c>
      <c r="G235" s="150">
        <v>20.329999999999998</v>
      </c>
      <c r="H235" s="150">
        <f>F235*G235</f>
        <v>20.329999999999998</v>
      </c>
    </row>
    <row r="236" spans="1:8" ht="22.5" x14ac:dyDescent="0.25">
      <c r="A236" s="184" t="s">
        <v>1029</v>
      </c>
      <c r="B236" s="147" t="s">
        <v>25</v>
      </c>
      <c r="C236" s="184">
        <v>88316</v>
      </c>
      <c r="D236" s="161" t="s">
        <v>1138</v>
      </c>
      <c r="E236" s="147" t="s">
        <v>997</v>
      </c>
      <c r="F236" s="212">
        <v>1</v>
      </c>
      <c r="G236" s="150">
        <v>16.43</v>
      </c>
      <c r="H236" s="150">
        <f>F236*G236</f>
        <v>16.43</v>
      </c>
    </row>
    <row r="237" spans="1:8" x14ac:dyDescent="0.25">
      <c r="A237" s="152"/>
      <c r="B237" s="140"/>
      <c r="C237" s="140"/>
      <c r="D237" s="140"/>
      <c r="E237" s="137"/>
      <c r="F237" s="203"/>
      <c r="G237" s="140"/>
      <c r="H237" s="182">
        <f>SUM(H233:H236)</f>
        <v>133.88</v>
      </c>
    </row>
    <row r="238" spans="1:8" x14ac:dyDescent="0.25">
      <c r="A238" s="152"/>
      <c r="B238" s="140"/>
      <c r="C238" s="140"/>
      <c r="D238" s="140"/>
      <c r="E238" s="137"/>
      <c r="F238" s="158"/>
      <c r="G238" s="140"/>
      <c r="H238" s="177"/>
    </row>
    <row r="239" spans="1:8" ht="34.5" x14ac:dyDescent="0.25">
      <c r="A239" s="141" t="s">
        <v>653</v>
      </c>
      <c r="B239" s="141" t="s">
        <v>14</v>
      </c>
      <c r="C239" s="142" t="s">
        <v>13</v>
      </c>
      <c r="D239" s="164" t="s">
        <v>654</v>
      </c>
      <c r="E239" s="141" t="s">
        <v>46</v>
      </c>
      <c r="F239" s="204" t="s">
        <v>1025</v>
      </c>
      <c r="G239" s="142" t="s">
        <v>1026</v>
      </c>
      <c r="H239" s="146" t="s">
        <v>1027</v>
      </c>
    </row>
    <row r="240" spans="1:8" ht="22.5" x14ac:dyDescent="0.25">
      <c r="A240" s="184" t="s">
        <v>1032</v>
      </c>
      <c r="B240" s="147" t="s">
        <v>25</v>
      </c>
      <c r="C240" s="147">
        <v>377</v>
      </c>
      <c r="D240" s="206" t="s">
        <v>1176</v>
      </c>
      <c r="E240" s="147" t="s">
        <v>46</v>
      </c>
      <c r="F240" s="201">
        <v>1</v>
      </c>
      <c r="G240" s="150">
        <v>22.99</v>
      </c>
      <c r="H240" s="150">
        <f>F240*G240</f>
        <v>22.99</v>
      </c>
    </row>
    <row r="241" spans="1:8" ht="33.75" x14ac:dyDescent="0.25">
      <c r="A241" s="147" t="s">
        <v>1029</v>
      </c>
      <c r="B241" s="205" t="s">
        <v>25</v>
      </c>
      <c r="C241" s="211">
        <v>88248</v>
      </c>
      <c r="D241" s="208" t="s">
        <v>1162</v>
      </c>
      <c r="E241" s="207" t="s">
        <v>997</v>
      </c>
      <c r="F241" s="212">
        <v>0.5</v>
      </c>
      <c r="G241" s="150">
        <v>16.21</v>
      </c>
      <c r="H241" s="150">
        <f>F241*G241</f>
        <v>8.1050000000000004</v>
      </c>
    </row>
    <row r="242" spans="1:8" ht="33.75" x14ac:dyDescent="0.25">
      <c r="A242" s="184" t="s">
        <v>1029</v>
      </c>
      <c r="B242" s="147" t="s">
        <v>25</v>
      </c>
      <c r="C242" s="184">
        <v>88267</v>
      </c>
      <c r="D242" s="161" t="s">
        <v>1145</v>
      </c>
      <c r="E242" s="147" t="s">
        <v>997</v>
      </c>
      <c r="F242" s="212">
        <v>0.5</v>
      </c>
      <c r="G242" s="150">
        <v>20.81</v>
      </c>
      <c r="H242" s="150">
        <f>F242*G242</f>
        <v>10.404999999999999</v>
      </c>
    </row>
    <row r="243" spans="1:8" x14ac:dyDescent="0.25">
      <c r="A243" s="152"/>
      <c r="B243" s="140"/>
      <c r="C243" s="140"/>
      <c r="D243" s="140"/>
      <c r="E243" s="137"/>
      <c r="F243" s="203"/>
      <c r="G243" s="140"/>
      <c r="H243" s="182">
        <f>SUM(H240:H242)</f>
        <v>41.5</v>
      </c>
    </row>
    <row r="244" spans="1:8" x14ac:dyDescent="0.25">
      <c r="A244" s="152"/>
      <c r="B244" s="140"/>
      <c r="C244" s="140"/>
      <c r="D244" s="140"/>
      <c r="E244" s="137"/>
      <c r="F244" s="158"/>
      <c r="G244" s="140"/>
      <c r="H244" s="177"/>
    </row>
    <row r="245" spans="1:8" ht="34.5" x14ac:dyDescent="0.25">
      <c r="A245" s="141" t="s">
        <v>210</v>
      </c>
      <c r="B245" s="141" t="s">
        <v>14</v>
      </c>
      <c r="C245" s="142" t="s">
        <v>13</v>
      </c>
      <c r="D245" s="164" t="s">
        <v>212</v>
      </c>
      <c r="E245" s="141" t="s">
        <v>60</v>
      </c>
      <c r="F245" s="204" t="s">
        <v>1025</v>
      </c>
      <c r="G245" s="142" t="s">
        <v>1026</v>
      </c>
      <c r="H245" s="146" t="s">
        <v>1027</v>
      </c>
    </row>
    <row r="246" spans="1:8" ht="22.5" x14ac:dyDescent="0.25">
      <c r="A246" s="184" t="s">
        <v>1029</v>
      </c>
      <c r="B246" s="147" t="s">
        <v>25</v>
      </c>
      <c r="C246" s="147">
        <v>88316</v>
      </c>
      <c r="D246" s="206" t="s">
        <v>1031</v>
      </c>
      <c r="E246" s="147" t="s">
        <v>997</v>
      </c>
      <c r="F246" s="201">
        <v>2</v>
      </c>
      <c r="G246" s="150">
        <v>16.43</v>
      </c>
      <c r="H246" s="150">
        <f>F246*G246</f>
        <v>32.86</v>
      </c>
    </row>
    <row r="247" spans="1:8" ht="22.5" x14ac:dyDescent="0.25">
      <c r="A247" s="147" t="s">
        <v>1029</v>
      </c>
      <c r="B247" s="205" t="s">
        <v>25</v>
      </c>
      <c r="C247" s="211">
        <v>88309</v>
      </c>
      <c r="D247" s="208" t="s">
        <v>1173</v>
      </c>
      <c r="E247" s="207" t="s">
        <v>997</v>
      </c>
      <c r="F247" s="212">
        <v>2</v>
      </c>
      <c r="G247" s="150">
        <v>20.329999999999998</v>
      </c>
      <c r="H247" s="150">
        <f>F247*G247</f>
        <v>40.659999999999997</v>
      </c>
    </row>
    <row r="248" spans="1:8" ht="33.75" x14ac:dyDescent="0.25">
      <c r="A248" s="147" t="s">
        <v>1032</v>
      </c>
      <c r="B248" s="205" t="s">
        <v>25</v>
      </c>
      <c r="C248" s="211">
        <v>11692</v>
      </c>
      <c r="D248" s="208" t="s">
        <v>1177</v>
      </c>
      <c r="E248" s="207" t="s">
        <v>27</v>
      </c>
      <c r="F248" s="212">
        <v>0.6</v>
      </c>
      <c r="G248" s="150">
        <v>348.82</v>
      </c>
      <c r="H248" s="150">
        <f>F248*G248</f>
        <v>209.292</v>
      </c>
    </row>
    <row r="249" spans="1:8" ht="33.75" x14ac:dyDescent="0.25">
      <c r="A249" s="147" t="s">
        <v>1032</v>
      </c>
      <c r="B249" s="205" t="s">
        <v>25</v>
      </c>
      <c r="C249" s="211">
        <v>370</v>
      </c>
      <c r="D249" s="208" t="s">
        <v>1178</v>
      </c>
      <c r="E249" s="207" t="s">
        <v>37</v>
      </c>
      <c r="F249" s="212">
        <v>5.1999999999999998E-3</v>
      </c>
      <c r="G249" s="150">
        <v>62.75</v>
      </c>
      <c r="H249" s="150">
        <f>F249*G249</f>
        <v>0.32629999999999998</v>
      </c>
    </row>
    <row r="250" spans="1:8" ht="22.5" x14ac:dyDescent="0.25">
      <c r="A250" s="184" t="s">
        <v>1032</v>
      </c>
      <c r="B250" s="147" t="s">
        <v>25</v>
      </c>
      <c r="C250" s="184">
        <v>1379</v>
      </c>
      <c r="D250" s="161" t="s">
        <v>1179</v>
      </c>
      <c r="E250" s="147" t="s">
        <v>125</v>
      </c>
      <c r="F250" s="212">
        <v>2.27</v>
      </c>
      <c r="G250" s="150">
        <v>0.55000000000000004</v>
      </c>
      <c r="H250" s="150">
        <f>F250*G250</f>
        <v>1.2485000000000002</v>
      </c>
    </row>
    <row r="251" spans="1:8" x14ac:dyDescent="0.25">
      <c r="A251" s="152"/>
      <c r="B251" s="140"/>
      <c r="C251" s="140"/>
      <c r="D251" s="140"/>
      <c r="E251" s="137"/>
      <c r="F251" s="203"/>
      <c r="G251" s="140"/>
      <c r="H251" s="182">
        <f>SUM(H246:H250)</f>
        <v>284.38679999999999</v>
      </c>
    </row>
    <row r="252" spans="1:8" x14ac:dyDescent="0.25">
      <c r="A252" s="152"/>
      <c r="B252" s="140"/>
      <c r="C252" s="140"/>
      <c r="D252" s="140"/>
      <c r="E252" s="137"/>
      <c r="F252" s="158"/>
      <c r="G252" s="140"/>
      <c r="H252" s="177"/>
    </row>
    <row r="253" spans="1:8" x14ac:dyDescent="0.25">
      <c r="A253" s="23"/>
      <c r="B253" s="23"/>
      <c r="C253" s="23"/>
      <c r="D253" s="23"/>
      <c r="E253" s="23"/>
      <c r="F253" s="23"/>
      <c r="G253" s="23"/>
      <c r="H253" s="23"/>
    </row>
    <row r="254" spans="1:8" ht="57" x14ac:dyDescent="0.25">
      <c r="A254" s="141" t="s">
        <v>668</v>
      </c>
      <c r="B254" s="141" t="s">
        <v>14</v>
      </c>
      <c r="C254" s="142" t="s">
        <v>13</v>
      </c>
      <c r="D254" s="164" t="s">
        <v>1180</v>
      </c>
      <c r="E254" s="141" t="s">
        <v>46</v>
      </c>
      <c r="F254" s="204" t="s">
        <v>1025</v>
      </c>
      <c r="G254" s="142" t="s">
        <v>1026</v>
      </c>
      <c r="H254" s="146" t="s">
        <v>1027</v>
      </c>
    </row>
    <row r="255" spans="1:8" ht="22.5" x14ac:dyDescent="0.25">
      <c r="A255" s="184" t="s">
        <v>1029</v>
      </c>
      <c r="B255" s="147" t="s">
        <v>25</v>
      </c>
      <c r="C255" s="147">
        <v>88247</v>
      </c>
      <c r="D255" s="206" t="s">
        <v>1181</v>
      </c>
      <c r="E255" s="147" t="s">
        <v>997</v>
      </c>
      <c r="F255" s="201">
        <v>2.5</v>
      </c>
      <c r="G255" s="150">
        <v>16.3</v>
      </c>
      <c r="H255" s="150">
        <f>F255*G255</f>
        <v>40.75</v>
      </c>
    </row>
    <row r="256" spans="1:8" ht="22.5" x14ac:dyDescent="0.25">
      <c r="A256" s="147" t="s">
        <v>1029</v>
      </c>
      <c r="B256" s="205" t="s">
        <v>25</v>
      </c>
      <c r="C256" s="211">
        <v>88264</v>
      </c>
      <c r="D256" s="208" t="s">
        <v>1182</v>
      </c>
      <c r="E256" s="207" t="s">
        <v>997</v>
      </c>
      <c r="F256" s="212">
        <v>2.5</v>
      </c>
      <c r="G256" s="150">
        <v>21.05</v>
      </c>
      <c r="H256" s="150">
        <f>F256*G256</f>
        <v>52.625</v>
      </c>
    </row>
    <row r="257" spans="1:8" ht="56.25" x14ac:dyDescent="0.25">
      <c r="A257" s="147" t="s">
        <v>1032</v>
      </c>
      <c r="B257" s="205" t="s">
        <v>25</v>
      </c>
      <c r="C257" s="211">
        <v>12038</v>
      </c>
      <c r="D257" s="208" t="s">
        <v>1183</v>
      </c>
      <c r="E257" s="207" t="s">
        <v>46</v>
      </c>
      <c r="F257" s="212">
        <v>1</v>
      </c>
      <c r="G257" s="150">
        <v>292.73</v>
      </c>
      <c r="H257" s="150">
        <f>F257*G257</f>
        <v>292.73</v>
      </c>
    </row>
    <row r="258" spans="1:8" x14ac:dyDescent="0.25">
      <c r="A258" s="152"/>
      <c r="B258" s="140"/>
      <c r="C258" s="140"/>
      <c r="D258" s="140"/>
      <c r="E258" s="137"/>
      <c r="F258" s="203"/>
      <c r="G258" s="140"/>
      <c r="H258" s="182">
        <f>SUM(H255:H257)</f>
        <v>386.10500000000002</v>
      </c>
    </row>
    <row r="259" spans="1:8" x14ac:dyDescent="0.25">
      <c r="A259" s="23"/>
      <c r="B259" s="23"/>
      <c r="C259" s="23"/>
      <c r="D259" s="23"/>
      <c r="E259" s="23"/>
      <c r="F259" s="23"/>
      <c r="G259" s="23"/>
      <c r="H259" s="23"/>
    </row>
    <row r="260" spans="1:8" x14ac:dyDescent="0.25">
      <c r="A260" s="23"/>
      <c r="B260" s="23"/>
      <c r="C260" s="23"/>
      <c r="D260" s="23"/>
      <c r="E260" s="23"/>
      <c r="F260" s="23"/>
      <c r="G260" s="23"/>
      <c r="H260" s="23"/>
    </row>
    <row r="261" spans="1:8" ht="45.75" x14ac:dyDescent="0.25">
      <c r="A261" s="141" t="s">
        <v>671</v>
      </c>
      <c r="B261" s="141" t="s">
        <v>14</v>
      </c>
      <c r="C261" s="142" t="s">
        <v>13</v>
      </c>
      <c r="D261" s="164" t="s">
        <v>1184</v>
      </c>
      <c r="E261" s="141" t="s">
        <v>46</v>
      </c>
      <c r="F261" s="204" t="s">
        <v>1025</v>
      </c>
      <c r="G261" s="142" t="s">
        <v>1026</v>
      </c>
      <c r="H261" s="146" t="s">
        <v>1027</v>
      </c>
    </row>
    <row r="262" spans="1:8" ht="22.5" x14ac:dyDescent="0.25">
      <c r="A262" s="184" t="s">
        <v>1029</v>
      </c>
      <c r="B262" s="147" t="s">
        <v>25</v>
      </c>
      <c r="C262" s="147">
        <v>88247</v>
      </c>
      <c r="D262" s="206" t="s">
        <v>1181</v>
      </c>
      <c r="E262" s="147" t="s">
        <v>997</v>
      </c>
      <c r="F262" s="201">
        <v>3</v>
      </c>
      <c r="G262" s="150">
        <v>16.3</v>
      </c>
      <c r="H262" s="150">
        <f>F262*G262</f>
        <v>48.900000000000006</v>
      </c>
    </row>
    <row r="263" spans="1:8" ht="22.5" x14ac:dyDescent="0.25">
      <c r="A263" s="147" t="s">
        <v>1029</v>
      </c>
      <c r="B263" s="205" t="s">
        <v>25</v>
      </c>
      <c r="C263" s="211">
        <v>88264</v>
      </c>
      <c r="D263" s="208" t="s">
        <v>1182</v>
      </c>
      <c r="E263" s="207" t="s">
        <v>997</v>
      </c>
      <c r="F263" s="212">
        <v>3</v>
      </c>
      <c r="G263" s="150">
        <v>21.05</v>
      </c>
      <c r="H263" s="150">
        <f>F263*G263</f>
        <v>63.150000000000006</v>
      </c>
    </row>
    <row r="264" spans="1:8" ht="56.25" x14ac:dyDescent="0.25">
      <c r="A264" s="147" t="s">
        <v>1032</v>
      </c>
      <c r="B264" s="205" t="s">
        <v>25</v>
      </c>
      <c r="C264" s="211">
        <v>12040</v>
      </c>
      <c r="D264" s="208" t="s">
        <v>672</v>
      </c>
      <c r="E264" s="207" t="s">
        <v>46</v>
      </c>
      <c r="F264" s="212">
        <v>1</v>
      </c>
      <c r="G264" s="150">
        <v>374.03</v>
      </c>
      <c r="H264" s="150">
        <f>F264*G264</f>
        <v>374.03</v>
      </c>
    </row>
    <row r="265" spans="1:8" x14ac:dyDescent="0.25">
      <c r="A265" s="152"/>
      <c r="B265" s="140"/>
      <c r="C265" s="140"/>
      <c r="D265" s="140"/>
      <c r="E265" s="137"/>
      <c r="F265" s="203"/>
      <c r="G265" s="140"/>
      <c r="H265" s="182">
        <f>SUM(H262:H264)</f>
        <v>486.08</v>
      </c>
    </row>
    <row r="266" spans="1:8" x14ac:dyDescent="0.25">
      <c r="A266" s="23"/>
      <c r="B266" s="23"/>
      <c r="C266" s="23"/>
      <c r="D266" s="23"/>
      <c r="E266" s="23"/>
      <c r="F266" s="23"/>
      <c r="G266" s="23"/>
      <c r="H266" s="23"/>
    </row>
    <row r="267" spans="1:8" ht="45.75" x14ac:dyDescent="0.25">
      <c r="A267" s="141" t="s">
        <v>674</v>
      </c>
      <c r="B267" s="141" t="s">
        <v>14</v>
      </c>
      <c r="C267" s="142" t="s">
        <v>13</v>
      </c>
      <c r="D267" s="164" t="s">
        <v>1185</v>
      </c>
      <c r="E267" s="141" t="s">
        <v>46</v>
      </c>
      <c r="F267" s="204" t="s">
        <v>1025</v>
      </c>
      <c r="G267" s="142" t="s">
        <v>1026</v>
      </c>
      <c r="H267" s="146" t="s">
        <v>1027</v>
      </c>
    </row>
    <row r="268" spans="1:8" ht="22.5" x14ac:dyDescent="0.25">
      <c r="A268" s="184" t="s">
        <v>1029</v>
      </c>
      <c r="B268" s="147" t="s">
        <v>25</v>
      </c>
      <c r="C268" s="147">
        <v>88247</v>
      </c>
      <c r="D268" s="206" t="s">
        <v>1181</v>
      </c>
      <c r="E268" s="147" t="s">
        <v>997</v>
      </c>
      <c r="F268" s="201">
        <v>3.5</v>
      </c>
      <c r="G268" s="150">
        <v>16.3</v>
      </c>
      <c r="H268" s="150">
        <f>F268*G268</f>
        <v>57.050000000000004</v>
      </c>
    </row>
    <row r="269" spans="1:8" ht="22.5" x14ac:dyDescent="0.25">
      <c r="A269" s="147" t="s">
        <v>1029</v>
      </c>
      <c r="B269" s="205" t="s">
        <v>25</v>
      </c>
      <c r="C269" s="211">
        <v>88264</v>
      </c>
      <c r="D269" s="208" t="s">
        <v>1182</v>
      </c>
      <c r="E269" s="207" t="s">
        <v>997</v>
      </c>
      <c r="F269" s="212">
        <v>3.5</v>
      </c>
      <c r="G269" s="150">
        <v>21.05</v>
      </c>
      <c r="H269" s="150">
        <f>F269*G269</f>
        <v>73.674999999999997</v>
      </c>
    </row>
    <row r="270" spans="1:8" ht="56.25" x14ac:dyDescent="0.25">
      <c r="A270" s="147" t="s">
        <v>1032</v>
      </c>
      <c r="B270" s="205" t="s">
        <v>25</v>
      </c>
      <c r="C270" s="211">
        <v>39759</v>
      </c>
      <c r="D270" s="208" t="s">
        <v>675</v>
      </c>
      <c r="E270" s="207" t="s">
        <v>46</v>
      </c>
      <c r="F270" s="212">
        <v>1</v>
      </c>
      <c r="G270" s="150">
        <v>709.32</v>
      </c>
      <c r="H270" s="150">
        <f>F270*G270</f>
        <v>709.32</v>
      </c>
    </row>
    <row r="271" spans="1:8" x14ac:dyDescent="0.25">
      <c r="A271" s="152"/>
      <c r="B271" s="140"/>
      <c r="C271" s="140"/>
      <c r="D271" s="140"/>
      <c r="E271" s="137"/>
      <c r="F271" s="203"/>
      <c r="G271" s="140"/>
      <c r="H271" s="182">
        <f>SUM(H268:H270)</f>
        <v>840.04500000000007</v>
      </c>
    </row>
    <row r="272" spans="1:8" x14ac:dyDescent="0.25">
      <c r="A272" s="23"/>
      <c r="B272" s="23"/>
      <c r="C272" s="23"/>
      <c r="D272" s="23"/>
      <c r="E272" s="23"/>
      <c r="F272" s="23"/>
      <c r="G272" s="23"/>
      <c r="H272" s="23"/>
    </row>
    <row r="273" spans="1:8" ht="34.5" x14ac:dyDescent="0.25">
      <c r="A273" s="141" t="s">
        <v>699</v>
      </c>
      <c r="B273" s="141" t="s">
        <v>14</v>
      </c>
      <c r="C273" s="142" t="s">
        <v>13</v>
      </c>
      <c r="D273" s="164" t="s">
        <v>1186</v>
      </c>
      <c r="E273" s="141" t="s">
        <v>46</v>
      </c>
      <c r="F273" s="204" t="s">
        <v>1025</v>
      </c>
      <c r="G273" s="142" t="s">
        <v>1026</v>
      </c>
      <c r="H273" s="146" t="s">
        <v>1027</v>
      </c>
    </row>
    <row r="274" spans="1:8" ht="22.5" x14ac:dyDescent="0.25">
      <c r="A274" s="184" t="s">
        <v>1029</v>
      </c>
      <c r="B274" s="147" t="s">
        <v>25</v>
      </c>
      <c r="C274" s="147">
        <v>88247</v>
      </c>
      <c r="D274" s="206" t="s">
        <v>1181</v>
      </c>
      <c r="E274" s="147" t="s">
        <v>997</v>
      </c>
      <c r="F274" s="201">
        <v>0.4</v>
      </c>
      <c r="G274" s="150">
        <v>16.3</v>
      </c>
      <c r="H274" s="150">
        <f>F274*G274</f>
        <v>6.5200000000000005</v>
      </c>
    </row>
    <row r="275" spans="1:8" ht="22.5" x14ac:dyDescent="0.25">
      <c r="A275" s="147" t="s">
        <v>1029</v>
      </c>
      <c r="B275" s="205" t="s">
        <v>25</v>
      </c>
      <c r="C275" s="211">
        <v>88264</v>
      </c>
      <c r="D275" s="208" t="s">
        <v>1182</v>
      </c>
      <c r="E275" s="207" t="s">
        <v>997</v>
      </c>
      <c r="F275" s="212">
        <v>0.4</v>
      </c>
      <c r="G275" s="150">
        <v>21.05</v>
      </c>
      <c r="H275" s="150">
        <f>F275*G275</f>
        <v>8.42</v>
      </c>
    </row>
    <row r="276" spans="1:8" ht="56.25" x14ac:dyDescent="0.25">
      <c r="A276" s="147" t="s">
        <v>1032</v>
      </c>
      <c r="B276" s="205" t="s">
        <v>25</v>
      </c>
      <c r="C276" s="211">
        <v>1575</v>
      </c>
      <c r="D276" s="208" t="s">
        <v>1187</v>
      </c>
      <c r="E276" s="207" t="s">
        <v>46</v>
      </c>
      <c r="F276" s="212">
        <v>2</v>
      </c>
      <c r="G276" s="150">
        <v>1.03</v>
      </c>
      <c r="H276" s="150">
        <f>F276*G276</f>
        <v>2.06</v>
      </c>
    </row>
    <row r="277" spans="1:8" x14ac:dyDescent="0.25">
      <c r="A277" s="147" t="s">
        <v>1032</v>
      </c>
      <c r="B277" s="205" t="s">
        <v>25</v>
      </c>
      <c r="C277" s="211">
        <v>34628</v>
      </c>
      <c r="D277" s="208" t="s">
        <v>1188</v>
      </c>
      <c r="E277" s="207" t="s">
        <v>46</v>
      </c>
      <c r="F277" s="212">
        <v>1</v>
      </c>
      <c r="G277" s="150">
        <v>59.05</v>
      </c>
      <c r="H277" s="150">
        <f>F277*G277</f>
        <v>59.05</v>
      </c>
    </row>
    <row r="278" spans="1:8" x14ac:dyDescent="0.25">
      <c r="A278" s="152"/>
      <c r="B278" s="140"/>
      <c r="C278" s="140"/>
      <c r="D278" s="140"/>
      <c r="E278" s="137"/>
      <c r="F278" s="203"/>
      <c r="G278" s="140"/>
      <c r="H278" s="182">
        <f>SUM(H274:H277)</f>
        <v>76.05</v>
      </c>
    </row>
    <row r="279" spans="1:8" x14ac:dyDescent="0.25">
      <c r="A279" s="152"/>
      <c r="B279" s="140"/>
      <c r="C279" s="140"/>
      <c r="D279" s="140"/>
      <c r="E279" s="137"/>
      <c r="F279" s="158"/>
      <c r="G279" s="140"/>
      <c r="H279" s="177"/>
    </row>
    <row r="280" spans="1:8" ht="34.5" x14ac:dyDescent="0.25">
      <c r="A280" s="141" t="s">
        <v>702</v>
      </c>
      <c r="B280" s="141" t="s">
        <v>14</v>
      </c>
      <c r="C280" s="142" t="s">
        <v>13</v>
      </c>
      <c r="D280" s="164" t="s">
        <v>1189</v>
      </c>
      <c r="E280" s="141" t="s">
        <v>46</v>
      </c>
      <c r="F280" s="204" t="s">
        <v>1025</v>
      </c>
      <c r="G280" s="142" t="s">
        <v>1026</v>
      </c>
      <c r="H280" s="146" t="s">
        <v>1027</v>
      </c>
    </row>
    <row r="281" spans="1:8" ht="22.5" x14ac:dyDescent="0.25">
      <c r="A281" s="184" t="s">
        <v>1029</v>
      </c>
      <c r="B281" s="147" t="s">
        <v>25</v>
      </c>
      <c r="C281" s="147">
        <v>88247</v>
      </c>
      <c r="D281" s="206" t="s">
        <v>1181</v>
      </c>
      <c r="E281" s="147" t="s">
        <v>997</v>
      </c>
      <c r="F281" s="201">
        <v>0.42</v>
      </c>
      <c r="G281" s="150">
        <v>16.3</v>
      </c>
      <c r="H281" s="150">
        <f>F281*G281</f>
        <v>6.8460000000000001</v>
      </c>
    </row>
    <row r="282" spans="1:8" ht="22.5" x14ac:dyDescent="0.25">
      <c r="A282" s="147" t="s">
        <v>1029</v>
      </c>
      <c r="B282" s="205" t="s">
        <v>25</v>
      </c>
      <c r="C282" s="211">
        <v>88264</v>
      </c>
      <c r="D282" s="208" t="s">
        <v>1182</v>
      </c>
      <c r="E282" s="207" t="s">
        <v>997</v>
      </c>
      <c r="F282" s="212">
        <v>0.42</v>
      </c>
      <c r="G282" s="150">
        <v>21.05</v>
      </c>
      <c r="H282" s="150">
        <f>F282*G282</f>
        <v>8.8409999999999993</v>
      </c>
    </row>
    <row r="283" spans="1:8" ht="56.25" x14ac:dyDescent="0.25">
      <c r="A283" s="147" t="s">
        <v>1032</v>
      </c>
      <c r="B283" s="205" t="s">
        <v>25</v>
      </c>
      <c r="C283" s="211">
        <v>1575</v>
      </c>
      <c r="D283" s="208" t="s">
        <v>1187</v>
      </c>
      <c r="E283" s="207" t="s">
        <v>46</v>
      </c>
      <c r="F283" s="212">
        <v>2</v>
      </c>
      <c r="G283" s="150">
        <v>1.03</v>
      </c>
      <c r="H283" s="150">
        <f>F283*G283</f>
        <v>2.06</v>
      </c>
    </row>
    <row r="284" spans="1:8" ht="45" x14ac:dyDescent="0.25">
      <c r="A284" s="147" t="s">
        <v>1032</v>
      </c>
      <c r="B284" s="179" t="s">
        <v>1122</v>
      </c>
      <c r="C284" s="211">
        <v>3692</v>
      </c>
      <c r="D284" s="208" t="s">
        <v>1190</v>
      </c>
      <c r="E284" s="207" t="s">
        <v>46</v>
      </c>
      <c r="F284" s="212">
        <v>1</v>
      </c>
      <c r="G284" s="150">
        <v>51.9</v>
      </c>
      <c r="H284" s="150">
        <f>F284*G284</f>
        <v>51.9</v>
      </c>
    </row>
    <row r="285" spans="1:8" x14ac:dyDescent="0.25">
      <c r="A285" s="152"/>
      <c r="B285" s="140"/>
      <c r="C285" s="140"/>
      <c r="D285" s="140"/>
      <c r="E285" s="137"/>
      <c r="F285" s="203"/>
      <c r="G285" s="140"/>
      <c r="H285" s="182">
        <f>SUM(H281:H284)</f>
        <v>69.646999999999991</v>
      </c>
    </row>
    <row r="286" spans="1:8" x14ac:dyDescent="0.25">
      <c r="A286" s="23"/>
      <c r="B286" s="23"/>
      <c r="C286" s="23"/>
      <c r="D286" s="23"/>
      <c r="E286" s="23"/>
      <c r="F286" s="23"/>
      <c r="G286" s="23"/>
      <c r="H286" s="23"/>
    </row>
    <row r="287" spans="1:8" x14ac:dyDescent="0.25">
      <c r="A287" s="23"/>
      <c r="B287" s="23"/>
      <c r="C287" s="23"/>
      <c r="D287" s="23"/>
      <c r="E287" s="23"/>
      <c r="F287" s="23"/>
      <c r="G287" s="23"/>
      <c r="H287" s="23"/>
    </row>
    <row r="288" spans="1:8" x14ac:dyDescent="0.25">
      <c r="A288" s="23"/>
      <c r="B288" s="23"/>
      <c r="C288" s="23"/>
      <c r="D288" s="23"/>
      <c r="E288" s="23"/>
      <c r="F288" s="23"/>
      <c r="G288" s="23"/>
      <c r="H288" s="23"/>
    </row>
    <row r="289" spans="1:8" x14ac:dyDescent="0.25">
      <c r="A289" s="23"/>
      <c r="B289" s="23"/>
      <c r="C289" s="23"/>
      <c r="D289" s="23"/>
      <c r="E289" s="23"/>
      <c r="F289" s="23"/>
      <c r="G289" s="23"/>
      <c r="H289" s="23"/>
    </row>
    <row r="290" spans="1:8" x14ac:dyDescent="0.25">
      <c r="A290" s="23"/>
      <c r="B290" s="23"/>
      <c r="C290" s="23"/>
      <c r="D290" s="23"/>
      <c r="E290" s="23"/>
      <c r="F290" s="23"/>
      <c r="G290" s="23"/>
      <c r="H290" s="23"/>
    </row>
    <row r="291" spans="1:8" ht="34.5" x14ac:dyDescent="0.25">
      <c r="A291" s="141" t="s">
        <v>705</v>
      </c>
      <c r="B291" s="141" t="s">
        <v>14</v>
      </c>
      <c r="C291" s="142" t="s">
        <v>13</v>
      </c>
      <c r="D291" s="164" t="s">
        <v>1189</v>
      </c>
      <c r="E291" s="141" t="s">
        <v>46</v>
      </c>
      <c r="F291" s="204" t="s">
        <v>1025</v>
      </c>
      <c r="G291" s="142" t="s">
        <v>1026</v>
      </c>
      <c r="H291" s="146" t="s">
        <v>1027</v>
      </c>
    </row>
    <row r="292" spans="1:8" ht="22.5" x14ac:dyDescent="0.25">
      <c r="A292" s="184" t="s">
        <v>1029</v>
      </c>
      <c r="B292" s="147" t="s">
        <v>25</v>
      </c>
      <c r="C292" s="147">
        <v>88247</v>
      </c>
      <c r="D292" s="206" t="s">
        <v>1181</v>
      </c>
      <c r="E292" s="147" t="s">
        <v>997</v>
      </c>
      <c r="F292" s="201">
        <v>0.42</v>
      </c>
      <c r="G292" s="150">
        <v>16.3</v>
      </c>
      <c r="H292" s="150">
        <f>F292*G292</f>
        <v>6.8460000000000001</v>
      </c>
    </row>
    <row r="293" spans="1:8" ht="22.5" x14ac:dyDescent="0.25">
      <c r="A293" s="147" t="s">
        <v>1029</v>
      </c>
      <c r="B293" s="205" t="s">
        <v>25</v>
      </c>
      <c r="C293" s="211">
        <v>88264</v>
      </c>
      <c r="D293" s="208" t="s">
        <v>1182</v>
      </c>
      <c r="E293" s="207" t="s">
        <v>997</v>
      </c>
      <c r="F293" s="212">
        <v>0.42</v>
      </c>
      <c r="G293" s="150">
        <v>21.05</v>
      </c>
      <c r="H293" s="150">
        <f>F293*G293</f>
        <v>8.8409999999999993</v>
      </c>
    </row>
    <row r="294" spans="1:8" ht="56.25" x14ac:dyDescent="0.25">
      <c r="A294" s="147" t="s">
        <v>1032</v>
      </c>
      <c r="B294" s="205" t="s">
        <v>25</v>
      </c>
      <c r="C294" s="211">
        <v>1575</v>
      </c>
      <c r="D294" s="208" t="s">
        <v>1187</v>
      </c>
      <c r="E294" s="207" t="s">
        <v>46</v>
      </c>
      <c r="F294" s="212">
        <v>2</v>
      </c>
      <c r="G294" s="150">
        <v>1.03</v>
      </c>
      <c r="H294" s="150">
        <f>F294*G294</f>
        <v>2.06</v>
      </c>
    </row>
    <row r="295" spans="1:8" ht="45" x14ac:dyDescent="0.25">
      <c r="A295" s="147" t="s">
        <v>1032</v>
      </c>
      <c r="B295" s="179" t="s">
        <v>1122</v>
      </c>
      <c r="C295" s="211">
        <v>3693</v>
      </c>
      <c r="D295" s="208" t="s">
        <v>1191</v>
      </c>
      <c r="E295" s="207" t="s">
        <v>46</v>
      </c>
      <c r="F295" s="212">
        <v>1</v>
      </c>
      <c r="G295" s="150">
        <v>58.9</v>
      </c>
      <c r="H295" s="150">
        <f>F295*G295</f>
        <v>58.9</v>
      </c>
    </row>
    <row r="296" spans="1:8" x14ac:dyDescent="0.25">
      <c r="A296" s="152"/>
      <c r="B296" s="140"/>
      <c r="C296" s="140"/>
      <c r="D296" s="140"/>
      <c r="E296" s="137"/>
      <c r="F296" s="203"/>
      <c r="G296" s="140"/>
      <c r="H296" s="182">
        <f>SUM(H292:H295)</f>
        <v>76.646999999999991</v>
      </c>
    </row>
    <row r="297" spans="1:8" x14ac:dyDescent="0.25">
      <c r="A297" s="23"/>
      <c r="B297" s="23"/>
      <c r="C297" s="23"/>
      <c r="D297" s="23"/>
      <c r="E297" s="23"/>
      <c r="F297" s="23"/>
      <c r="G297" s="23"/>
      <c r="H297" s="23"/>
    </row>
    <row r="298" spans="1:8" ht="34.5" x14ac:dyDescent="0.25">
      <c r="A298" s="141" t="s">
        <v>710</v>
      </c>
      <c r="B298" s="141" t="s">
        <v>14</v>
      </c>
      <c r="C298" s="142" t="s">
        <v>13</v>
      </c>
      <c r="D298" s="164" t="s">
        <v>1192</v>
      </c>
      <c r="E298" s="141" t="s">
        <v>46</v>
      </c>
      <c r="F298" s="204" t="s">
        <v>1025</v>
      </c>
      <c r="G298" s="142" t="s">
        <v>1026</v>
      </c>
      <c r="H298" s="146" t="s">
        <v>1027</v>
      </c>
    </row>
    <row r="299" spans="1:8" ht="22.5" x14ac:dyDescent="0.25">
      <c r="A299" s="184" t="s">
        <v>1029</v>
      </c>
      <c r="B299" s="147" t="s">
        <v>25</v>
      </c>
      <c r="C299" s="147">
        <v>88247</v>
      </c>
      <c r="D299" s="206" t="s">
        <v>1181</v>
      </c>
      <c r="E299" s="147" t="s">
        <v>997</v>
      </c>
      <c r="F299" s="201">
        <v>0.56000000000000005</v>
      </c>
      <c r="G299" s="150">
        <v>16.3</v>
      </c>
      <c r="H299" s="150">
        <f>F299*G299</f>
        <v>9.1280000000000019</v>
      </c>
    </row>
    <row r="300" spans="1:8" ht="22.5" x14ac:dyDescent="0.25">
      <c r="A300" s="147" t="s">
        <v>1029</v>
      </c>
      <c r="B300" s="205" t="s">
        <v>25</v>
      </c>
      <c r="C300" s="211">
        <v>88264</v>
      </c>
      <c r="D300" s="208" t="s">
        <v>1182</v>
      </c>
      <c r="E300" s="207" t="s">
        <v>997</v>
      </c>
      <c r="F300" s="212">
        <v>0.56000000000000005</v>
      </c>
      <c r="G300" s="150">
        <v>21.05</v>
      </c>
      <c r="H300" s="150">
        <f>F300*G300</f>
        <v>11.788000000000002</v>
      </c>
    </row>
    <row r="301" spans="1:8" ht="56.25" x14ac:dyDescent="0.25">
      <c r="A301" s="147" t="s">
        <v>1032</v>
      </c>
      <c r="B301" s="205" t="s">
        <v>25</v>
      </c>
      <c r="C301" s="211">
        <v>1575</v>
      </c>
      <c r="D301" s="208" t="s">
        <v>1187</v>
      </c>
      <c r="E301" s="207" t="s">
        <v>46</v>
      </c>
      <c r="F301" s="212">
        <v>3</v>
      </c>
      <c r="G301" s="150">
        <v>1.03</v>
      </c>
      <c r="H301" s="150">
        <f>F301*G301</f>
        <v>3.09</v>
      </c>
    </row>
    <row r="302" spans="1:8" ht="22.5" x14ac:dyDescent="0.25">
      <c r="A302" s="147" t="s">
        <v>1032</v>
      </c>
      <c r="B302" s="205" t="s">
        <v>25</v>
      </c>
      <c r="C302" s="211">
        <v>34714</v>
      </c>
      <c r="D302" s="208" t="s">
        <v>1193</v>
      </c>
      <c r="E302" s="207" t="s">
        <v>46</v>
      </c>
      <c r="F302" s="212">
        <v>1</v>
      </c>
      <c r="G302" s="150">
        <v>61.26</v>
      </c>
      <c r="H302" s="150">
        <f>F302*G302</f>
        <v>61.26</v>
      </c>
    </row>
    <row r="303" spans="1:8" x14ac:dyDescent="0.25">
      <c r="A303" s="152"/>
      <c r="B303" s="140"/>
      <c r="C303" s="140"/>
      <c r="D303" s="140"/>
      <c r="E303" s="137"/>
      <c r="F303" s="203"/>
      <c r="G303" s="140"/>
      <c r="H303" s="182">
        <f>SUM(H299:H302)</f>
        <v>85.266000000000005</v>
      </c>
    </row>
    <row r="304" spans="1:8" x14ac:dyDescent="0.25">
      <c r="A304" s="23"/>
      <c r="B304" s="23"/>
      <c r="C304" s="23"/>
      <c r="D304" s="23"/>
      <c r="E304" s="23"/>
      <c r="F304" s="23"/>
      <c r="G304" s="23"/>
      <c r="H304" s="23"/>
    </row>
    <row r="305" spans="1:8" ht="34.5" x14ac:dyDescent="0.25">
      <c r="A305" s="141" t="s">
        <v>713</v>
      </c>
      <c r="B305" s="141" t="s">
        <v>14</v>
      </c>
      <c r="C305" s="142" t="s">
        <v>13</v>
      </c>
      <c r="D305" s="164" t="s">
        <v>1194</v>
      </c>
      <c r="E305" s="141" t="s">
        <v>46</v>
      </c>
      <c r="F305" s="204" t="s">
        <v>1025</v>
      </c>
      <c r="G305" s="142" t="s">
        <v>1026</v>
      </c>
      <c r="H305" s="146" t="s">
        <v>1027</v>
      </c>
    </row>
    <row r="306" spans="1:8" ht="22.5" x14ac:dyDescent="0.25">
      <c r="A306" s="184" t="s">
        <v>1029</v>
      </c>
      <c r="B306" s="147" t="s">
        <v>25</v>
      </c>
      <c r="C306" s="147">
        <v>88247</v>
      </c>
      <c r="D306" s="206" t="s">
        <v>1181</v>
      </c>
      <c r="E306" s="147" t="s">
        <v>997</v>
      </c>
      <c r="F306" s="201">
        <v>0.56799999999999995</v>
      </c>
      <c r="G306" s="150">
        <v>16.3</v>
      </c>
      <c r="H306" s="150">
        <f>F306*G306</f>
        <v>9.2584</v>
      </c>
    </row>
    <row r="307" spans="1:8" ht="22.5" x14ac:dyDescent="0.25">
      <c r="A307" s="147" t="s">
        <v>1029</v>
      </c>
      <c r="B307" s="205" t="s">
        <v>25</v>
      </c>
      <c r="C307" s="211">
        <v>88264</v>
      </c>
      <c r="D307" s="208" t="s">
        <v>1182</v>
      </c>
      <c r="E307" s="207" t="s">
        <v>997</v>
      </c>
      <c r="F307" s="212">
        <v>0.56799999999999995</v>
      </c>
      <c r="G307" s="150">
        <v>21.05</v>
      </c>
      <c r="H307" s="150">
        <f>F307*G307</f>
        <v>11.956399999999999</v>
      </c>
    </row>
    <row r="308" spans="1:8" ht="56.25" x14ac:dyDescent="0.25">
      <c r="A308" s="147" t="s">
        <v>1032</v>
      </c>
      <c r="B308" s="205" t="s">
        <v>25</v>
      </c>
      <c r="C308" s="211">
        <v>1577</v>
      </c>
      <c r="D308" s="208" t="s">
        <v>1195</v>
      </c>
      <c r="E308" s="207" t="s">
        <v>46</v>
      </c>
      <c r="F308" s="212">
        <v>3</v>
      </c>
      <c r="G308" s="150">
        <v>1.61</v>
      </c>
      <c r="H308" s="150">
        <f>F308*G308</f>
        <v>4.83</v>
      </c>
    </row>
    <row r="309" spans="1:8" ht="33.75" x14ac:dyDescent="0.25">
      <c r="A309" s="147" t="s">
        <v>1032</v>
      </c>
      <c r="B309" s="205" t="s">
        <v>25</v>
      </c>
      <c r="C309" s="211">
        <v>2374</v>
      </c>
      <c r="D309" s="208" t="s">
        <v>1196</v>
      </c>
      <c r="E309" s="207" t="s">
        <v>46</v>
      </c>
      <c r="F309" s="212">
        <v>1</v>
      </c>
      <c r="G309" s="150">
        <v>317.43</v>
      </c>
      <c r="H309" s="150">
        <f>F309*G309</f>
        <v>317.43</v>
      </c>
    </row>
    <row r="310" spans="1:8" x14ac:dyDescent="0.25">
      <c r="A310" s="152"/>
      <c r="B310" s="140"/>
      <c r="C310" s="140"/>
      <c r="D310" s="140"/>
      <c r="E310" s="137"/>
      <c r="F310" s="203"/>
      <c r="G310" s="140"/>
      <c r="H310" s="182">
        <f>SUM(H306:H309)</f>
        <v>343.47480000000002</v>
      </c>
    </row>
    <row r="311" spans="1:8" x14ac:dyDescent="0.25">
      <c r="A311" s="152"/>
      <c r="B311" s="140"/>
      <c r="C311" s="140"/>
      <c r="D311" s="140"/>
      <c r="E311" s="137"/>
      <c r="F311" s="158"/>
      <c r="G311" s="140"/>
      <c r="H311" s="177"/>
    </row>
    <row r="312" spans="1:8" ht="34.5" x14ac:dyDescent="0.25">
      <c r="A312" s="141" t="s">
        <v>716</v>
      </c>
      <c r="B312" s="141" t="s">
        <v>14</v>
      </c>
      <c r="C312" s="142" t="s">
        <v>13</v>
      </c>
      <c r="D312" s="164" t="s">
        <v>1197</v>
      </c>
      <c r="E312" s="141" t="s">
        <v>46</v>
      </c>
      <c r="F312" s="204" t="s">
        <v>1025</v>
      </c>
      <c r="G312" s="142" t="s">
        <v>1026</v>
      </c>
      <c r="H312" s="146" t="s">
        <v>1027</v>
      </c>
    </row>
    <row r="313" spans="1:8" ht="22.5" x14ac:dyDescent="0.25">
      <c r="A313" s="184" t="s">
        <v>1029</v>
      </c>
      <c r="B313" s="147" t="s">
        <v>25</v>
      </c>
      <c r="C313" s="147">
        <v>88247</v>
      </c>
      <c r="D313" s="206" t="s">
        <v>1181</v>
      </c>
      <c r="E313" s="147" t="s">
        <v>997</v>
      </c>
      <c r="F313" s="201">
        <v>0.56799999999999995</v>
      </c>
      <c r="G313" s="150">
        <v>16.3</v>
      </c>
      <c r="H313" s="150">
        <f>F313*G313</f>
        <v>9.2584</v>
      </c>
    </row>
    <row r="314" spans="1:8" ht="22.5" x14ac:dyDescent="0.25">
      <c r="A314" s="147" t="s">
        <v>1029</v>
      </c>
      <c r="B314" s="205" t="s">
        <v>25</v>
      </c>
      <c r="C314" s="211">
        <v>88264</v>
      </c>
      <c r="D314" s="208" t="s">
        <v>1182</v>
      </c>
      <c r="E314" s="207" t="s">
        <v>997</v>
      </c>
      <c r="F314" s="212">
        <v>0.56799999999999995</v>
      </c>
      <c r="G314" s="150">
        <v>21.05</v>
      </c>
      <c r="H314" s="150">
        <f>F314*G314</f>
        <v>11.956399999999999</v>
      </c>
    </row>
    <row r="315" spans="1:8" ht="56.25" x14ac:dyDescent="0.25">
      <c r="A315" s="147" t="s">
        <v>1032</v>
      </c>
      <c r="B315" s="205" t="s">
        <v>25</v>
      </c>
      <c r="C315" s="211">
        <v>1576</v>
      </c>
      <c r="D315" s="208" t="s">
        <v>1198</v>
      </c>
      <c r="E315" s="207" t="s">
        <v>46</v>
      </c>
      <c r="F315" s="212">
        <v>3</v>
      </c>
      <c r="G315" s="150">
        <v>1.43</v>
      </c>
      <c r="H315" s="150">
        <f>F315*G315</f>
        <v>4.29</v>
      </c>
    </row>
    <row r="316" spans="1:8" ht="22.5" x14ac:dyDescent="0.25">
      <c r="A316" s="147" t="s">
        <v>1032</v>
      </c>
      <c r="B316" s="205" t="s">
        <v>25</v>
      </c>
      <c r="C316" s="211">
        <v>2391</v>
      </c>
      <c r="D316" s="208" t="s">
        <v>1199</v>
      </c>
      <c r="E316" s="207" t="s">
        <v>46</v>
      </c>
      <c r="F316" s="212">
        <v>1</v>
      </c>
      <c r="G316" s="150">
        <v>279.8</v>
      </c>
      <c r="H316" s="150">
        <f>F316*G316</f>
        <v>279.8</v>
      </c>
    </row>
    <row r="317" spans="1:8" x14ac:dyDescent="0.25">
      <c r="A317" s="152"/>
      <c r="B317" s="140"/>
      <c r="C317" s="140"/>
      <c r="D317" s="140"/>
      <c r="E317" s="137"/>
      <c r="F317" s="203"/>
      <c r="G317" s="140"/>
      <c r="H317" s="182">
        <f>SUM(H313:H316)</f>
        <v>305.3048</v>
      </c>
    </row>
    <row r="318" spans="1:8" x14ac:dyDescent="0.25">
      <c r="A318" s="152"/>
      <c r="B318" s="140"/>
      <c r="C318" s="140"/>
      <c r="D318" s="140"/>
      <c r="E318" s="137"/>
      <c r="F318" s="158"/>
      <c r="G318" s="140"/>
      <c r="H318" s="177"/>
    </row>
    <row r="319" spans="1:8" ht="34.5" x14ac:dyDescent="0.25">
      <c r="A319" s="141" t="s">
        <v>719</v>
      </c>
      <c r="B319" s="141" t="s">
        <v>14</v>
      </c>
      <c r="C319" s="142" t="s">
        <v>13</v>
      </c>
      <c r="D319" s="164" t="s">
        <v>1200</v>
      </c>
      <c r="E319" s="141" t="s">
        <v>46</v>
      </c>
      <c r="F319" s="204" t="s">
        <v>1025</v>
      </c>
      <c r="G319" s="142" t="s">
        <v>1026</v>
      </c>
      <c r="H319" s="146" t="s">
        <v>1027</v>
      </c>
    </row>
    <row r="320" spans="1:8" ht="22.5" x14ac:dyDescent="0.25">
      <c r="A320" s="184" t="s">
        <v>1029</v>
      </c>
      <c r="B320" s="147" t="s">
        <v>25</v>
      </c>
      <c r="C320" s="147">
        <v>88247</v>
      </c>
      <c r="D320" s="206" t="s">
        <v>1181</v>
      </c>
      <c r="E320" s="147" t="s">
        <v>997</v>
      </c>
      <c r="F320" s="201">
        <v>0.56799999999999995</v>
      </c>
      <c r="G320" s="150">
        <v>16.3</v>
      </c>
      <c r="H320" s="150">
        <f>F320*G320</f>
        <v>9.2584</v>
      </c>
    </row>
    <row r="321" spans="1:8" ht="22.5" x14ac:dyDescent="0.25">
      <c r="A321" s="147" t="s">
        <v>1029</v>
      </c>
      <c r="B321" s="205" t="s">
        <v>25</v>
      </c>
      <c r="C321" s="211">
        <v>88264</v>
      </c>
      <c r="D321" s="208" t="s">
        <v>1182</v>
      </c>
      <c r="E321" s="207" t="s">
        <v>997</v>
      </c>
      <c r="F321" s="212">
        <v>0.56799999999999995</v>
      </c>
      <c r="G321" s="150">
        <v>21.05</v>
      </c>
      <c r="H321" s="150">
        <f>F321*G321</f>
        <v>11.956399999999999</v>
      </c>
    </row>
    <row r="322" spans="1:8" ht="56.25" x14ac:dyDescent="0.25">
      <c r="A322" s="147" t="s">
        <v>1032</v>
      </c>
      <c r="B322" s="205" t="s">
        <v>25</v>
      </c>
      <c r="C322" s="211">
        <v>1578</v>
      </c>
      <c r="D322" s="208" t="s">
        <v>1201</v>
      </c>
      <c r="E322" s="207" t="s">
        <v>46</v>
      </c>
      <c r="F322" s="212">
        <v>3</v>
      </c>
      <c r="G322" s="150">
        <v>2.79</v>
      </c>
      <c r="H322" s="150">
        <f>F322*G322</f>
        <v>8.370000000000001</v>
      </c>
    </row>
    <row r="323" spans="1:8" ht="33.75" x14ac:dyDescent="0.25">
      <c r="A323" s="147" t="s">
        <v>1032</v>
      </c>
      <c r="B323" s="205" t="s">
        <v>25</v>
      </c>
      <c r="C323" s="211">
        <v>2377</v>
      </c>
      <c r="D323" s="208" t="s">
        <v>1202</v>
      </c>
      <c r="E323" s="207" t="s">
        <v>46</v>
      </c>
      <c r="F323" s="212">
        <v>1</v>
      </c>
      <c r="G323" s="150">
        <v>445.48</v>
      </c>
      <c r="H323" s="150">
        <f>F323*G323</f>
        <v>445.48</v>
      </c>
    </row>
    <row r="324" spans="1:8" x14ac:dyDescent="0.25">
      <c r="A324" s="152"/>
      <c r="B324" s="140"/>
      <c r="C324" s="140"/>
      <c r="D324" s="140"/>
      <c r="E324" s="137"/>
      <c r="F324" s="203"/>
      <c r="G324" s="140"/>
      <c r="H324" s="182">
        <f>SUM(H320:H323)</f>
        <v>475.06479999999999</v>
      </c>
    </row>
    <row r="325" spans="1:8" x14ac:dyDescent="0.25">
      <c r="A325" s="152"/>
      <c r="B325" s="140"/>
      <c r="C325" s="140"/>
      <c r="D325" s="140"/>
      <c r="E325" s="137"/>
      <c r="F325" s="158"/>
      <c r="G325" s="140"/>
      <c r="H325" s="177"/>
    </row>
    <row r="326" spans="1:8" ht="45.75" x14ac:dyDescent="0.25">
      <c r="A326" s="141" t="s">
        <v>725</v>
      </c>
      <c r="B326" s="141" t="s">
        <v>14</v>
      </c>
      <c r="C326" s="142" t="s">
        <v>13</v>
      </c>
      <c r="D326" s="164" t="s">
        <v>1203</v>
      </c>
      <c r="E326" s="141" t="s">
        <v>46</v>
      </c>
      <c r="F326" s="204" t="s">
        <v>1025</v>
      </c>
      <c r="G326" s="142" t="s">
        <v>1026</v>
      </c>
      <c r="H326" s="146" t="s">
        <v>1027</v>
      </c>
    </row>
    <row r="327" spans="1:8" ht="22.5" x14ac:dyDescent="0.25">
      <c r="A327" s="184" t="s">
        <v>1029</v>
      </c>
      <c r="B327" s="147" t="s">
        <v>25</v>
      </c>
      <c r="C327" s="147">
        <v>88247</v>
      </c>
      <c r="D327" s="206" t="s">
        <v>1181</v>
      </c>
      <c r="E327" s="147" t="s">
        <v>997</v>
      </c>
      <c r="F327" s="201">
        <v>0.19900000000000001</v>
      </c>
      <c r="G327" s="150">
        <v>16.3</v>
      </c>
      <c r="H327" s="150">
        <f>F327*G327</f>
        <v>3.2437000000000005</v>
      </c>
    </row>
    <row r="328" spans="1:8" ht="22.5" x14ac:dyDescent="0.25">
      <c r="A328" s="147" t="s">
        <v>1029</v>
      </c>
      <c r="B328" s="205" t="s">
        <v>25</v>
      </c>
      <c r="C328" s="211">
        <v>88264</v>
      </c>
      <c r="D328" s="208" t="s">
        <v>1182</v>
      </c>
      <c r="E328" s="207" t="s">
        <v>997</v>
      </c>
      <c r="F328" s="212">
        <v>0.19900000000000001</v>
      </c>
      <c r="G328" s="150">
        <v>21.05</v>
      </c>
      <c r="H328" s="150">
        <f>F328*G328</f>
        <v>4.1889500000000002</v>
      </c>
    </row>
    <row r="329" spans="1:8" ht="33.75" x14ac:dyDescent="0.25">
      <c r="A329" s="147" t="s">
        <v>1032</v>
      </c>
      <c r="B329" s="205" t="s">
        <v>25</v>
      </c>
      <c r="C329" s="211">
        <v>39455</v>
      </c>
      <c r="D329" s="208" t="s">
        <v>1204</v>
      </c>
      <c r="E329" s="207" t="s">
        <v>46</v>
      </c>
      <c r="F329" s="212">
        <v>1</v>
      </c>
      <c r="G329" s="150">
        <v>128.13999999999999</v>
      </c>
      <c r="H329" s="150">
        <f>F329*G329</f>
        <v>128.13999999999999</v>
      </c>
    </row>
    <row r="330" spans="1:8" x14ac:dyDescent="0.25">
      <c r="A330" s="152"/>
      <c r="B330" s="140"/>
      <c r="C330" s="140"/>
      <c r="D330" s="140"/>
      <c r="E330" s="137"/>
      <c r="F330" s="203"/>
      <c r="G330" s="140"/>
      <c r="H330" s="182">
        <f>SUM(H327:H329)</f>
        <v>135.57264999999998</v>
      </c>
    </row>
    <row r="331" spans="1:8" x14ac:dyDescent="0.25">
      <c r="A331" s="152"/>
      <c r="B331" s="140"/>
      <c r="C331" s="140"/>
      <c r="D331" s="140"/>
      <c r="E331" s="137"/>
      <c r="F331" s="158"/>
      <c r="G331" s="140"/>
      <c r="H331" s="177"/>
    </row>
    <row r="332" spans="1:8" ht="45.75" x14ac:dyDescent="0.25">
      <c r="A332" s="141" t="s">
        <v>728</v>
      </c>
      <c r="B332" s="141" t="s">
        <v>14</v>
      </c>
      <c r="C332" s="142" t="s">
        <v>13</v>
      </c>
      <c r="D332" s="164" t="s">
        <v>922</v>
      </c>
      <c r="E332" s="141" t="s">
        <v>46</v>
      </c>
      <c r="F332" s="204" t="s">
        <v>1025</v>
      </c>
      <c r="G332" s="142" t="s">
        <v>1026</v>
      </c>
      <c r="H332" s="146" t="s">
        <v>1027</v>
      </c>
    </row>
    <row r="333" spans="1:8" ht="22.5" x14ac:dyDescent="0.25">
      <c r="A333" s="184" t="s">
        <v>1029</v>
      </c>
      <c r="B333" s="147" t="s">
        <v>25</v>
      </c>
      <c r="C333" s="147">
        <v>88247</v>
      </c>
      <c r="D333" s="206" t="s">
        <v>1181</v>
      </c>
      <c r="E333" s="147" t="s">
        <v>997</v>
      </c>
      <c r="F333" s="201">
        <v>0.56799999999999995</v>
      </c>
      <c r="G333" s="150">
        <v>16.3</v>
      </c>
      <c r="H333" s="150">
        <f>F333*G333</f>
        <v>9.2584</v>
      </c>
    </row>
    <row r="334" spans="1:8" ht="22.5" x14ac:dyDescent="0.25">
      <c r="A334" s="147" t="s">
        <v>1029</v>
      </c>
      <c r="B334" s="205" t="s">
        <v>25</v>
      </c>
      <c r="C334" s="211">
        <v>88264</v>
      </c>
      <c r="D334" s="208" t="s">
        <v>1182</v>
      </c>
      <c r="E334" s="207" t="s">
        <v>997</v>
      </c>
      <c r="F334" s="212">
        <v>0.56799999999999995</v>
      </c>
      <c r="G334" s="150">
        <v>21.05</v>
      </c>
      <c r="H334" s="150">
        <f>F334*G334</f>
        <v>11.956399999999999</v>
      </c>
    </row>
    <row r="335" spans="1:8" ht="33.75" x14ac:dyDescent="0.25">
      <c r="A335" s="147" t="s">
        <v>1032</v>
      </c>
      <c r="B335" s="205" t="s">
        <v>25</v>
      </c>
      <c r="C335" s="211">
        <v>39457</v>
      </c>
      <c r="D335" s="208" t="s">
        <v>1205</v>
      </c>
      <c r="E335" s="207" t="s">
        <v>46</v>
      </c>
      <c r="F335" s="212">
        <v>1</v>
      </c>
      <c r="G335" s="150">
        <v>139.79</v>
      </c>
      <c r="H335" s="150">
        <f>F335*G335</f>
        <v>139.79</v>
      </c>
    </row>
    <row r="336" spans="1:8" x14ac:dyDescent="0.25">
      <c r="A336" s="152"/>
      <c r="B336" s="140"/>
      <c r="C336" s="140"/>
      <c r="D336" s="140"/>
      <c r="E336" s="137"/>
      <c r="F336" s="203"/>
      <c r="G336" s="140"/>
      <c r="H336" s="182">
        <f>SUM(H333:H335)</f>
        <v>161.00479999999999</v>
      </c>
    </row>
    <row r="337" spans="1:8" x14ac:dyDescent="0.25">
      <c r="A337" s="23"/>
      <c r="B337" s="23"/>
      <c r="C337" s="23"/>
      <c r="D337" s="23"/>
      <c r="E337" s="23"/>
      <c r="F337" s="23"/>
      <c r="G337" s="23"/>
      <c r="H337" s="23"/>
    </row>
    <row r="338" spans="1:8" ht="45.75" x14ac:dyDescent="0.25">
      <c r="A338" s="141" t="s">
        <v>731</v>
      </c>
      <c r="B338" s="141" t="s">
        <v>14</v>
      </c>
      <c r="C338" s="142" t="s">
        <v>13</v>
      </c>
      <c r="D338" s="164" t="s">
        <v>1206</v>
      </c>
      <c r="E338" s="141" t="s">
        <v>46</v>
      </c>
      <c r="F338" s="204" t="s">
        <v>1025</v>
      </c>
      <c r="G338" s="142" t="s">
        <v>1026</v>
      </c>
      <c r="H338" s="146" t="s">
        <v>1027</v>
      </c>
    </row>
    <row r="339" spans="1:8" ht="22.5" x14ac:dyDescent="0.25">
      <c r="A339" s="184" t="s">
        <v>1029</v>
      </c>
      <c r="B339" s="147" t="s">
        <v>25</v>
      </c>
      <c r="C339" s="147">
        <v>88247</v>
      </c>
      <c r="D339" s="206" t="s">
        <v>1181</v>
      </c>
      <c r="E339" s="147" t="s">
        <v>997</v>
      </c>
      <c r="F339" s="201">
        <v>0.56799999999999995</v>
      </c>
      <c r="G339" s="150">
        <v>16.3</v>
      </c>
      <c r="H339" s="150">
        <f>F339*G339</f>
        <v>9.2584</v>
      </c>
    </row>
    <row r="340" spans="1:8" ht="22.5" x14ac:dyDescent="0.25">
      <c r="A340" s="147" t="s">
        <v>1029</v>
      </c>
      <c r="B340" s="205" t="s">
        <v>25</v>
      </c>
      <c r="C340" s="211">
        <v>88264</v>
      </c>
      <c r="D340" s="208" t="s">
        <v>1182</v>
      </c>
      <c r="E340" s="207" t="s">
        <v>997</v>
      </c>
      <c r="F340" s="212">
        <v>0.56799999999999995</v>
      </c>
      <c r="G340" s="150">
        <v>21.05</v>
      </c>
      <c r="H340" s="150">
        <f>F340*G340</f>
        <v>11.956399999999999</v>
      </c>
    </row>
    <row r="341" spans="1:8" ht="33.75" x14ac:dyDescent="0.25">
      <c r="A341" s="147" t="s">
        <v>1032</v>
      </c>
      <c r="B341" s="205" t="s">
        <v>25</v>
      </c>
      <c r="C341" s="211">
        <v>39449</v>
      </c>
      <c r="D341" s="208" t="s">
        <v>1207</v>
      </c>
      <c r="E341" s="207" t="s">
        <v>46</v>
      </c>
      <c r="F341" s="212">
        <v>1</v>
      </c>
      <c r="G341" s="150">
        <v>258.95999999999998</v>
      </c>
      <c r="H341" s="150">
        <f>F341*G341</f>
        <v>258.95999999999998</v>
      </c>
    </row>
    <row r="342" spans="1:8" x14ac:dyDescent="0.25">
      <c r="A342" s="152"/>
      <c r="B342" s="140"/>
      <c r="C342" s="140"/>
      <c r="D342" s="140"/>
      <c r="E342" s="137"/>
      <c r="F342" s="203"/>
      <c r="G342" s="140"/>
      <c r="H342" s="182">
        <f>SUM(H339:H341)</f>
        <v>280.1748</v>
      </c>
    </row>
    <row r="343" spans="1:8" x14ac:dyDescent="0.25">
      <c r="A343" s="23"/>
      <c r="B343" s="23"/>
      <c r="C343" s="23"/>
      <c r="D343" s="23"/>
      <c r="E343" s="23"/>
      <c r="F343" s="23"/>
      <c r="G343" s="23"/>
      <c r="H343" s="23"/>
    </row>
    <row r="344" spans="1:8" ht="45.75" x14ac:dyDescent="0.25">
      <c r="A344" s="141" t="s">
        <v>734</v>
      </c>
      <c r="B344" s="141" t="s">
        <v>14</v>
      </c>
      <c r="C344" s="142" t="s">
        <v>13</v>
      </c>
      <c r="D344" s="164" t="s">
        <v>735</v>
      </c>
      <c r="E344" s="141" t="s">
        <v>46</v>
      </c>
      <c r="F344" s="204" t="s">
        <v>1025</v>
      </c>
      <c r="G344" s="142" t="s">
        <v>1026</v>
      </c>
      <c r="H344" s="146" t="s">
        <v>1027</v>
      </c>
    </row>
    <row r="345" spans="1:8" ht="22.5" x14ac:dyDescent="0.25">
      <c r="A345" s="184" t="s">
        <v>1029</v>
      </c>
      <c r="B345" s="147" t="s">
        <v>25</v>
      </c>
      <c r="C345" s="147">
        <v>88247</v>
      </c>
      <c r="D345" s="206" t="s">
        <v>1181</v>
      </c>
      <c r="E345" s="147" t="s">
        <v>997</v>
      </c>
      <c r="F345" s="201">
        <v>0.189</v>
      </c>
      <c r="G345" s="150">
        <v>16.3</v>
      </c>
      <c r="H345" s="150">
        <f>F345*G345</f>
        <v>3.0807000000000002</v>
      </c>
    </row>
    <row r="346" spans="1:8" ht="22.5" x14ac:dyDescent="0.25">
      <c r="A346" s="147" t="s">
        <v>1029</v>
      </c>
      <c r="B346" s="205" t="s">
        <v>25</v>
      </c>
      <c r="C346" s="211">
        <v>88264</v>
      </c>
      <c r="D346" s="208" t="s">
        <v>1182</v>
      </c>
      <c r="E346" s="207" t="s">
        <v>997</v>
      </c>
      <c r="F346" s="212">
        <v>0.189</v>
      </c>
      <c r="G346" s="150">
        <v>21.05</v>
      </c>
      <c r="H346" s="150">
        <f>F346*G346</f>
        <v>3.97845</v>
      </c>
    </row>
    <row r="347" spans="1:8" ht="33.75" x14ac:dyDescent="0.25">
      <c r="A347" s="147" t="s">
        <v>1032</v>
      </c>
      <c r="B347" s="205" t="s">
        <v>25</v>
      </c>
      <c r="C347" s="211">
        <v>39449</v>
      </c>
      <c r="D347" s="208" t="s">
        <v>1208</v>
      </c>
      <c r="E347" s="207" t="s">
        <v>46</v>
      </c>
      <c r="F347" s="212">
        <v>1</v>
      </c>
      <c r="G347" s="150">
        <v>258.95999999999998</v>
      </c>
      <c r="H347" s="150">
        <f>F347*G347</f>
        <v>258.95999999999998</v>
      </c>
    </row>
    <row r="348" spans="1:8" x14ac:dyDescent="0.25">
      <c r="A348" s="152"/>
      <c r="B348" s="140"/>
      <c r="C348" s="140"/>
      <c r="D348" s="140"/>
      <c r="E348" s="137"/>
      <c r="F348" s="203"/>
      <c r="G348" s="140"/>
      <c r="H348" s="182">
        <f>SUM(H345:H347)</f>
        <v>266.01914999999997</v>
      </c>
    </row>
    <row r="349" spans="1:8" x14ac:dyDescent="0.25">
      <c r="A349" s="23"/>
      <c r="B349" s="23"/>
      <c r="C349" s="23"/>
      <c r="D349" s="23"/>
      <c r="E349" s="23"/>
      <c r="F349" s="23"/>
      <c r="G349" s="23"/>
      <c r="H349" s="23"/>
    </row>
    <row r="350" spans="1:8" ht="45.75" x14ac:dyDescent="0.25">
      <c r="A350" s="141" t="s">
        <v>763</v>
      </c>
      <c r="B350" s="141" t="s">
        <v>14</v>
      </c>
      <c r="C350" s="142" t="s">
        <v>13</v>
      </c>
      <c r="D350" s="164" t="s">
        <v>1209</v>
      </c>
      <c r="E350" s="141" t="s">
        <v>60</v>
      </c>
      <c r="F350" s="204" t="s">
        <v>1025</v>
      </c>
      <c r="G350" s="142" t="s">
        <v>1026</v>
      </c>
      <c r="H350" s="146" t="s">
        <v>1027</v>
      </c>
    </row>
    <row r="351" spans="1:8" ht="22.5" x14ac:dyDescent="0.25">
      <c r="A351" s="184" t="s">
        <v>1029</v>
      </c>
      <c r="B351" s="147" t="s">
        <v>25</v>
      </c>
      <c r="C351" s="147">
        <v>88247</v>
      </c>
      <c r="D351" s="206" t="s">
        <v>1181</v>
      </c>
      <c r="E351" s="147" t="s">
        <v>997</v>
      </c>
      <c r="F351" s="201">
        <v>0.20519999999999999</v>
      </c>
      <c r="G351" s="150">
        <v>16.3</v>
      </c>
      <c r="H351" s="150">
        <f>F351*G351</f>
        <v>3.34476</v>
      </c>
    </row>
    <row r="352" spans="1:8" ht="22.5" x14ac:dyDescent="0.25">
      <c r="A352" s="147" t="s">
        <v>1029</v>
      </c>
      <c r="B352" s="205" t="s">
        <v>25</v>
      </c>
      <c r="C352" s="211">
        <v>88264</v>
      </c>
      <c r="D352" s="208" t="s">
        <v>1182</v>
      </c>
      <c r="E352" s="207" t="s">
        <v>997</v>
      </c>
      <c r="F352" s="212">
        <v>0.20519999999999999</v>
      </c>
      <c r="G352" s="150">
        <v>21.05</v>
      </c>
      <c r="H352" s="150">
        <f>F352*G352</f>
        <v>4.3194600000000003</v>
      </c>
    </row>
    <row r="353" spans="1:8" ht="67.5" x14ac:dyDescent="0.25">
      <c r="A353" s="147" t="s">
        <v>1029</v>
      </c>
      <c r="B353" s="205" t="s">
        <v>25</v>
      </c>
      <c r="C353" s="211">
        <v>91174</v>
      </c>
      <c r="D353" s="208" t="s">
        <v>1210</v>
      </c>
      <c r="E353" s="207" t="s">
        <v>60</v>
      </c>
      <c r="F353" s="212">
        <v>2</v>
      </c>
      <c r="G353" s="150">
        <v>2.2400000000000002</v>
      </c>
      <c r="H353" s="150">
        <f>F353*G353</f>
        <v>4.4800000000000004</v>
      </c>
    </row>
    <row r="354" spans="1:8" ht="45" x14ac:dyDescent="0.25">
      <c r="A354" s="147" t="s">
        <v>1032</v>
      </c>
      <c r="B354" s="205" t="s">
        <v>25</v>
      </c>
      <c r="C354" s="211">
        <v>21130</v>
      </c>
      <c r="D354" s="208" t="s">
        <v>1211</v>
      </c>
      <c r="E354" s="207" t="s">
        <v>60</v>
      </c>
      <c r="F354" s="212">
        <v>1</v>
      </c>
      <c r="G354" s="150">
        <v>22.65</v>
      </c>
      <c r="H354" s="150">
        <f>F354*G354</f>
        <v>22.65</v>
      </c>
    </row>
    <row r="355" spans="1:8" x14ac:dyDescent="0.25">
      <c r="A355" s="152"/>
      <c r="B355" s="140"/>
      <c r="C355" s="140"/>
      <c r="D355" s="140"/>
      <c r="E355" s="137"/>
      <c r="F355" s="203"/>
      <c r="G355" s="140"/>
      <c r="H355" s="182">
        <f>SUM(H351:H354)</f>
        <v>34.794219999999996</v>
      </c>
    </row>
    <row r="356" spans="1:8" x14ac:dyDescent="0.25">
      <c r="A356" s="23"/>
      <c r="B356" s="23"/>
      <c r="C356" s="23"/>
      <c r="D356" s="23"/>
      <c r="E356" s="23"/>
      <c r="F356" s="23"/>
      <c r="G356" s="23"/>
      <c r="H356" s="23"/>
    </row>
    <row r="357" spans="1:8" ht="45.75" x14ac:dyDescent="0.25">
      <c r="A357" s="141" t="s">
        <v>766</v>
      </c>
      <c r="B357" s="141" t="s">
        <v>14</v>
      </c>
      <c r="C357" s="142" t="s">
        <v>13</v>
      </c>
      <c r="D357" s="164" t="s">
        <v>767</v>
      </c>
      <c r="E357" s="141" t="s">
        <v>60</v>
      </c>
      <c r="F357" s="204" t="s">
        <v>1025</v>
      </c>
      <c r="G357" s="142" t="s">
        <v>1026</v>
      </c>
      <c r="H357" s="146" t="s">
        <v>1027</v>
      </c>
    </row>
    <row r="358" spans="1:8" ht="22.5" x14ac:dyDescent="0.25">
      <c r="A358" s="184" t="s">
        <v>1029</v>
      </c>
      <c r="B358" s="147" t="s">
        <v>25</v>
      </c>
      <c r="C358" s="147">
        <v>88247</v>
      </c>
      <c r="D358" s="206" t="s">
        <v>1181</v>
      </c>
      <c r="E358" s="147" t="s">
        <v>997</v>
      </c>
      <c r="F358" s="201">
        <v>0.20519999999999999</v>
      </c>
      <c r="G358" s="150">
        <v>16.3</v>
      </c>
      <c r="H358" s="150">
        <f>F358*G358</f>
        <v>3.34476</v>
      </c>
    </row>
    <row r="359" spans="1:8" ht="22.5" x14ac:dyDescent="0.25">
      <c r="A359" s="147" t="s">
        <v>1029</v>
      </c>
      <c r="B359" s="205" t="s">
        <v>25</v>
      </c>
      <c r="C359" s="211">
        <v>88264</v>
      </c>
      <c r="D359" s="208" t="s">
        <v>1182</v>
      </c>
      <c r="E359" s="207" t="s">
        <v>997</v>
      </c>
      <c r="F359" s="212">
        <v>0.20519999999999999</v>
      </c>
      <c r="G359" s="150">
        <v>21.05</v>
      </c>
      <c r="H359" s="150">
        <f>F359*G359</f>
        <v>4.3194600000000003</v>
      </c>
    </row>
    <row r="360" spans="1:8" ht="67.5" x14ac:dyDescent="0.25">
      <c r="A360" s="147" t="s">
        <v>1029</v>
      </c>
      <c r="B360" s="205" t="s">
        <v>25</v>
      </c>
      <c r="C360" s="211">
        <v>91174</v>
      </c>
      <c r="D360" s="208" t="s">
        <v>1210</v>
      </c>
      <c r="E360" s="207" t="s">
        <v>60</v>
      </c>
      <c r="F360" s="212">
        <v>2</v>
      </c>
      <c r="G360" s="150">
        <v>2.2400000000000002</v>
      </c>
      <c r="H360" s="150">
        <f>F360*G360</f>
        <v>4.4800000000000004</v>
      </c>
    </row>
    <row r="361" spans="1:8" ht="33.75" x14ac:dyDescent="0.25">
      <c r="A361" s="147" t="s">
        <v>1032</v>
      </c>
      <c r="B361" s="205" t="s">
        <v>1122</v>
      </c>
      <c r="C361" s="211">
        <v>3844</v>
      </c>
      <c r="D361" s="208" t="s">
        <v>1212</v>
      </c>
      <c r="E361" s="207" t="s">
        <v>60</v>
      </c>
      <c r="F361" s="212">
        <v>1</v>
      </c>
      <c r="G361" s="150">
        <v>71.3</v>
      </c>
      <c r="H361" s="150">
        <f>F361*G361</f>
        <v>71.3</v>
      </c>
    </row>
    <row r="362" spans="1:8" x14ac:dyDescent="0.25">
      <c r="A362" s="152"/>
      <c r="B362" s="140"/>
      <c r="C362" s="140"/>
      <c r="D362" s="140"/>
      <c r="E362" s="137"/>
      <c r="F362" s="203"/>
      <c r="G362" s="140"/>
      <c r="H362" s="182">
        <f>SUM(H358:H361)</f>
        <v>83.444220000000001</v>
      </c>
    </row>
    <row r="363" spans="1:8" x14ac:dyDescent="0.25">
      <c r="A363" s="152"/>
      <c r="B363" s="140"/>
      <c r="C363" s="140"/>
      <c r="D363" s="140"/>
      <c r="E363" s="137"/>
      <c r="F363" s="203"/>
      <c r="G363" s="140"/>
      <c r="H363" s="23"/>
    </row>
    <row r="364" spans="1:8" ht="45.75" x14ac:dyDescent="0.25">
      <c r="A364" s="141" t="s">
        <v>1213</v>
      </c>
      <c r="B364" s="141" t="s">
        <v>14</v>
      </c>
      <c r="C364" s="142" t="s">
        <v>13</v>
      </c>
      <c r="D364" s="164" t="s">
        <v>1214</v>
      </c>
      <c r="E364" s="141" t="s">
        <v>46</v>
      </c>
      <c r="F364" s="204" t="s">
        <v>1025</v>
      </c>
      <c r="G364" s="142" t="s">
        <v>1026</v>
      </c>
      <c r="H364" s="146" t="s">
        <v>1027</v>
      </c>
    </row>
    <row r="365" spans="1:8" ht="22.5" x14ac:dyDescent="0.25">
      <c r="A365" s="184" t="s">
        <v>1029</v>
      </c>
      <c r="B365" s="147" t="s">
        <v>25</v>
      </c>
      <c r="C365" s="147">
        <v>88247</v>
      </c>
      <c r="D365" s="206" t="s">
        <v>1181</v>
      </c>
      <c r="E365" s="147" t="s">
        <v>997</v>
      </c>
      <c r="F365" s="201">
        <v>0.37619999999999998</v>
      </c>
      <c r="G365" s="150">
        <v>16.3</v>
      </c>
      <c r="H365" s="150">
        <f>F365*G365</f>
        <v>6.1320600000000001</v>
      </c>
    </row>
    <row r="366" spans="1:8" ht="22.5" x14ac:dyDescent="0.25">
      <c r="A366" s="147" t="s">
        <v>1029</v>
      </c>
      <c r="B366" s="205" t="s">
        <v>25</v>
      </c>
      <c r="C366" s="211">
        <v>88264</v>
      </c>
      <c r="D366" s="208" t="s">
        <v>1182</v>
      </c>
      <c r="E366" s="207" t="s">
        <v>997</v>
      </c>
      <c r="F366" s="212">
        <v>0.37619999999999998</v>
      </c>
      <c r="G366" s="150">
        <v>21.05</v>
      </c>
      <c r="H366" s="150">
        <f>F366*G366</f>
        <v>7.9190100000000001</v>
      </c>
    </row>
    <row r="367" spans="1:8" ht="45" x14ac:dyDescent="0.25">
      <c r="A367" s="147" t="s">
        <v>1032</v>
      </c>
      <c r="B367" s="205" t="s">
        <v>25</v>
      </c>
      <c r="C367" s="211">
        <v>11950</v>
      </c>
      <c r="D367" s="208" t="s">
        <v>1215</v>
      </c>
      <c r="E367" s="207" t="s">
        <v>46</v>
      </c>
      <c r="F367" s="212">
        <v>2</v>
      </c>
      <c r="G367" s="150">
        <v>0.16</v>
      </c>
      <c r="H367" s="150">
        <f>F367*G367</f>
        <v>0.32</v>
      </c>
    </row>
    <row r="368" spans="1:8" ht="33.75" x14ac:dyDescent="0.25">
      <c r="A368" s="147" t="s">
        <v>1032</v>
      </c>
      <c r="B368" s="205" t="s">
        <v>25</v>
      </c>
      <c r="C368" s="211">
        <v>2587</v>
      </c>
      <c r="D368" s="208" t="s">
        <v>1216</v>
      </c>
      <c r="E368" s="207" t="s">
        <v>46</v>
      </c>
      <c r="F368" s="212">
        <v>1</v>
      </c>
      <c r="G368" s="150">
        <v>16.05</v>
      </c>
      <c r="H368" s="150">
        <f>F368*G368</f>
        <v>16.05</v>
      </c>
    </row>
    <row r="369" spans="1:8" x14ac:dyDescent="0.25">
      <c r="A369" s="152"/>
      <c r="B369" s="140"/>
      <c r="C369" s="140"/>
      <c r="D369" s="140"/>
      <c r="E369" s="137"/>
      <c r="F369" s="203"/>
      <c r="G369" s="140"/>
      <c r="H369" s="182">
        <f>SUM(H365:H368)</f>
        <v>30.42107</v>
      </c>
    </row>
    <row r="370" spans="1:8" x14ac:dyDescent="0.25">
      <c r="A370" s="23"/>
      <c r="B370" s="23"/>
      <c r="C370" s="23"/>
      <c r="D370" s="23"/>
      <c r="E370" s="23"/>
      <c r="F370" s="23"/>
      <c r="G370" s="23"/>
      <c r="H370" s="23"/>
    </row>
    <row r="371" spans="1:8" x14ac:dyDescent="0.25">
      <c r="A371" s="152"/>
      <c r="B371" s="140"/>
      <c r="C371" s="140"/>
      <c r="D371" s="140"/>
      <c r="E371" s="137"/>
      <c r="F371" s="158"/>
      <c r="G371" s="140"/>
      <c r="H371" s="177"/>
    </row>
    <row r="372" spans="1:8" ht="57" x14ac:dyDescent="0.25">
      <c r="A372" s="141" t="s">
        <v>806</v>
      </c>
      <c r="B372" s="141" t="s">
        <v>14</v>
      </c>
      <c r="C372" s="142" t="s">
        <v>13</v>
      </c>
      <c r="D372" s="164" t="s">
        <v>807</v>
      </c>
      <c r="E372" s="141" t="s">
        <v>46</v>
      </c>
      <c r="F372" s="204" t="s">
        <v>1025</v>
      </c>
      <c r="G372" s="142" t="s">
        <v>1026</v>
      </c>
      <c r="H372" s="146" t="s">
        <v>1027</v>
      </c>
    </row>
    <row r="373" spans="1:8" ht="22.5" x14ac:dyDescent="0.25">
      <c r="A373" s="184" t="s">
        <v>1029</v>
      </c>
      <c r="B373" s="147" t="s">
        <v>25</v>
      </c>
      <c r="C373" s="147">
        <v>88247</v>
      </c>
      <c r="D373" s="206" t="s">
        <v>1181</v>
      </c>
      <c r="E373" s="147" t="s">
        <v>997</v>
      </c>
      <c r="F373" s="201">
        <v>0.23899999999999999</v>
      </c>
      <c r="G373" s="150">
        <v>16.3</v>
      </c>
      <c r="H373" s="150">
        <f>F373*G373</f>
        <v>3.8957000000000002</v>
      </c>
    </row>
    <row r="374" spans="1:8" ht="22.5" x14ac:dyDescent="0.25">
      <c r="A374" s="147" t="s">
        <v>1029</v>
      </c>
      <c r="B374" s="205" t="s">
        <v>25</v>
      </c>
      <c r="C374" s="211">
        <v>88264</v>
      </c>
      <c r="D374" s="208" t="s">
        <v>1182</v>
      </c>
      <c r="E374" s="207" t="s">
        <v>997</v>
      </c>
      <c r="F374" s="212">
        <v>0.23899999999999999</v>
      </c>
      <c r="G374" s="150">
        <v>21.05</v>
      </c>
      <c r="H374" s="150">
        <f>F374*G374</f>
        <v>5.0309499999999998</v>
      </c>
    </row>
    <row r="375" spans="1:8" ht="45" x14ac:dyDescent="0.25">
      <c r="A375" s="147" t="s">
        <v>1032</v>
      </c>
      <c r="B375" s="205" t="s">
        <v>25</v>
      </c>
      <c r="C375" s="211">
        <v>2633</v>
      </c>
      <c r="D375" s="208" t="s">
        <v>1217</v>
      </c>
      <c r="E375" s="207" t="s">
        <v>46</v>
      </c>
      <c r="F375" s="212">
        <v>1</v>
      </c>
      <c r="G375" s="150">
        <v>4.38</v>
      </c>
      <c r="H375" s="150">
        <f>F375*G375</f>
        <v>4.38</v>
      </c>
    </row>
    <row r="376" spans="1:8" x14ac:dyDescent="0.25">
      <c r="A376" s="152"/>
      <c r="B376" s="140"/>
      <c r="C376" s="140"/>
      <c r="D376" s="140"/>
      <c r="E376" s="137"/>
      <c r="F376" s="203"/>
      <c r="G376" s="140"/>
      <c r="H376" s="182">
        <f>SUM(H373:H375)</f>
        <v>13.306650000000001</v>
      </c>
    </row>
    <row r="377" spans="1:8" x14ac:dyDescent="0.25">
      <c r="A377" s="152"/>
      <c r="B377" s="140"/>
      <c r="C377" s="140"/>
      <c r="D377" s="140"/>
      <c r="E377" s="137"/>
      <c r="F377" s="158"/>
      <c r="G377" s="140"/>
      <c r="H377" s="177"/>
    </row>
    <row r="378" spans="1:8" ht="45.75" x14ac:dyDescent="0.25">
      <c r="A378" s="141" t="s">
        <v>809</v>
      </c>
      <c r="B378" s="141" t="s">
        <v>14</v>
      </c>
      <c r="C378" s="142" t="s">
        <v>13</v>
      </c>
      <c r="D378" s="164" t="s">
        <v>810</v>
      </c>
      <c r="E378" s="141" t="s">
        <v>46</v>
      </c>
      <c r="F378" s="204" t="s">
        <v>1025</v>
      </c>
      <c r="G378" s="142" t="s">
        <v>1026</v>
      </c>
      <c r="H378" s="146" t="s">
        <v>1027</v>
      </c>
    </row>
    <row r="379" spans="1:8" ht="22.5" x14ac:dyDescent="0.25">
      <c r="A379" s="184" t="s">
        <v>1029</v>
      </c>
      <c r="B379" s="147" t="s">
        <v>25</v>
      </c>
      <c r="C379" s="147">
        <v>88247</v>
      </c>
      <c r="D379" s="206" t="s">
        <v>1181</v>
      </c>
      <c r="E379" s="147" t="s">
        <v>997</v>
      </c>
      <c r="F379" s="201">
        <v>0.27300000000000002</v>
      </c>
      <c r="G379" s="150">
        <v>16.3</v>
      </c>
      <c r="H379" s="150">
        <f>F379*G379</f>
        <v>4.4499000000000004</v>
      </c>
    </row>
    <row r="380" spans="1:8" ht="22.5" x14ac:dyDescent="0.25">
      <c r="A380" s="147" t="s">
        <v>1029</v>
      </c>
      <c r="B380" s="205" t="s">
        <v>25</v>
      </c>
      <c r="C380" s="211">
        <v>88264</v>
      </c>
      <c r="D380" s="208" t="s">
        <v>1182</v>
      </c>
      <c r="E380" s="207" t="s">
        <v>997</v>
      </c>
      <c r="F380" s="212">
        <v>0.27300000000000002</v>
      </c>
      <c r="G380" s="150">
        <v>21.05</v>
      </c>
      <c r="H380" s="150">
        <f>F380*G380</f>
        <v>5.7466500000000007</v>
      </c>
    </row>
    <row r="381" spans="1:8" ht="33.75" x14ac:dyDescent="0.25">
      <c r="A381" s="147" t="s">
        <v>1032</v>
      </c>
      <c r="B381" s="205" t="s">
        <v>25</v>
      </c>
      <c r="C381" s="211">
        <v>2617</v>
      </c>
      <c r="D381" s="208" t="s">
        <v>1218</v>
      </c>
      <c r="E381" s="207" t="s">
        <v>46</v>
      </c>
      <c r="F381" s="212">
        <v>1</v>
      </c>
      <c r="G381" s="150">
        <v>5.96</v>
      </c>
      <c r="H381" s="150">
        <f>F381*G381</f>
        <v>5.96</v>
      </c>
    </row>
    <row r="382" spans="1:8" x14ac:dyDescent="0.25">
      <c r="A382" s="152"/>
      <c r="B382" s="140"/>
      <c r="C382" s="140"/>
      <c r="D382" s="140"/>
      <c r="E382" s="137"/>
      <c r="F382" s="203"/>
      <c r="G382" s="140"/>
      <c r="H382" s="182">
        <f>SUM(H379:H381)</f>
        <v>16.156550000000003</v>
      </c>
    </row>
    <row r="383" spans="1:8" x14ac:dyDescent="0.25">
      <c r="A383" s="152"/>
      <c r="B383" s="140"/>
      <c r="C383" s="140"/>
      <c r="D383" s="140"/>
      <c r="E383" s="137"/>
      <c r="F383" s="158"/>
      <c r="G383" s="140"/>
      <c r="H383" s="177"/>
    </row>
    <row r="384" spans="1:8" ht="57" x14ac:dyDescent="0.25">
      <c r="A384" s="141" t="s">
        <v>812</v>
      </c>
      <c r="B384" s="141" t="s">
        <v>14</v>
      </c>
      <c r="C384" s="142" t="s">
        <v>13</v>
      </c>
      <c r="D384" s="164" t="s">
        <v>813</v>
      </c>
      <c r="E384" s="141" t="s">
        <v>46</v>
      </c>
      <c r="F384" s="204" t="s">
        <v>1025</v>
      </c>
      <c r="G384" s="142" t="s">
        <v>1026</v>
      </c>
      <c r="H384" s="146" t="s">
        <v>1027</v>
      </c>
    </row>
    <row r="385" spans="1:8" ht="22.5" x14ac:dyDescent="0.25">
      <c r="A385" s="184" t="s">
        <v>1029</v>
      </c>
      <c r="B385" s="147" t="s">
        <v>25</v>
      </c>
      <c r="C385" s="147">
        <v>88247</v>
      </c>
      <c r="D385" s="206" t="s">
        <v>1181</v>
      </c>
      <c r="E385" s="147" t="s">
        <v>997</v>
      </c>
      <c r="F385" s="201">
        <v>0.312</v>
      </c>
      <c r="G385" s="150">
        <v>16.3</v>
      </c>
      <c r="H385" s="150">
        <f>F385*G385</f>
        <v>5.0856000000000003</v>
      </c>
    </row>
    <row r="386" spans="1:8" ht="22.5" x14ac:dyDescent="0.25">
      <c r="A386" s="147" t="s">
        <v>1029</v>
      </c>
      <c r="B386" s="205" t="s">
        <v>25</v>
      </c>
      <c r="C386" s="211">
        <v>88264</v>
      </c>
      <c r="D386" s="208" t="s">
        <v>1182</v>
      </c>
      <c r="E386" s="207" t="s">
        <v>997</v>
      </c>
      <c r="F386" s="212">
        <v>0.312</v>
      </c>
      <c r="G386" s="150">
        <v>21.05</v>
      </c>
      <c r="H386" s="150">
        <f>F386*G386</f>
        <v>6.5676000000000005</v>
      </c>
    </row>
    <row r="387" spans="1:8" ht="45" x14ac:dyDescent="0.25">
      <c r="A387" s="147" t="s">
        <v>1032</v>
      </c>
      <c r="B387" s="205" t="s">
        <v>25</v>
      </c>
      <c r="C387" s="211">
        <v>2618</v>
      </c>
      <c r="D387" s="208" t="s">
        <v>1219</v>
      </c>
      <c r="E387" s="207" t="s">
        <v>46</v>
      </c>
      <c r="F387" s="212">
        <v>1</v>
      </c>
      <c r="G387" s="150">
        <v>13.56</v>
      </c>
      <c r="H387" s="150">
        <f>F387*G387</f>
        <v>13.56</v>
      </c>
    </row>
    <row r="388" spans="1:8" x14ac:dyDescent="0.25">
      <c r="A388" s="152"/>
      <c r="B388" s="140"/>
      <c r="C388" s="140"/>
      <c r="D388" s="140"/>
      <c r="E388" s="137"/>
      <c r="F388" s="203"/>
      <c r="G388" s="140"/>
      <c r="H388" s="182">
        <f>SUM(H385:H387)</f>
        <v>25.213200000000001</v>
      </c>
    </row>
    <row r="389" spans="1:8" x14ac:dyDescent="0.25">
      <c r="A389" s="131"/>
      <c r="B389" s="132"/>
      <c r="C389" s="132"/>
      <c r="D389" s="133"/>
      <c r="E389" s="134"/>
      <c r="F389" s="135"/>
      <c r="G389" s="133"/>
      <c r="H389" s="136"/>
    </row>
    <row r="390" spans="1:8" ht="33.75" x14ac:dyDescent="0.25">
      <c r="A390" s="141" t="s">
        <v>829</v>
      </c>
      <c r="B390" s="141" t="s">
        <v>14</v>
      </c>
      <c r="C390" s="142" t="s">
        <v>13</v>
      </c>
      <c r="D390" s="160" t="s">
        <v>830</v>
      </c>
      <c r="E390" s="141" t="s">
        <v>46</v>
      </c>
      <c r="F390" s="204" t="s">
        <v>1025</v>
      </c>
      <c r="G390" s="142" t="s">
        <v>1026</v>
      </c>
      <c r="H390" s="146" t="s">
        <v>1027</v>
      </c>
    </row>
    <row r="391" spans="1:8" ht="22.5" x14ac:dyDescent="0.25">
      <c r="A391" s="184" t="s">
        <v>1029</v>
      </c>
      <c r="B391" s="147" t="s">
        <v>25</v>
      </c>
      <c r="C391" s="147">
        <v>88247</v>
      </c>
      <c r="D391" s="206" t="s">
        <v>1181</v>
      </c>
      <c r="E391" s="147" t="s">
        <v>997</v>
      </c>
      <c r="F391" s="201">
        <v>1</v>
      </c>
      <c r="G391" s="150">
        <v>16.3</v>
      </c>
      <c r="H391" s="150">
        <f>F391*G391</f>
        <v>16.3</v>
      </c>
    </row>
    <row r="392" spans="1:8" ht="22.5" x14ac:dyDescent="0.25">
      <c r="A392" s="147" t="s">
        <v>1029</v>
      </c>
      <c r="B392" s="205" t="s">
        <v>25</v>
      </c>
      <c r="C392" s="211">
        <v>88264</v>
      </c>
      <c r="D392" s="208" t="s">
        <v>1182</v>
      </c>
      <c r="E392" s="207" t="s">
        <v>997</v>
      </c>
      <c r="F392" s="212">
        <v>1</v>
      </c>
      <c r="G392" s="150">
        <v>21.05</v>
      </c>
      <c r="H392" s="150">
        <f>F392*G392</f>
        <v>21.05</v>
      </c>
    </row>
    <row r="393" spans="1:8" ht="22.5" x14ac:dyDescent="0.25">
      <c r="A393" s="147" t="s">
        <v>1032</v>
      </c>
      <c r="B393" s="214" t="s">
        <v>1220</v>
      </c>
      <c r="C393" s="214" t="s">
        <v>1221</v>
      </c>
      <c r="D393" s="208" t="s">
        <v>1222</v>
      </c>
      <c r="E393" s="207" t="s">
        <v>46</v>
      </c>
      <c r="F393" s="212">
        <v>1</v>
      </c>
      <c r="G393" s="150">
        <f>Cotações!E15</f>
        <v>1988.18</v>
      </c>
      <c r="H393" s="150">
        <f>F393*G393</f>
        <v>1988.18</v>
      </c>
    </row>
    <row r="394" spans="1:8" x14ac:dyDescent="0.25">
      <c r="A394" s="152"/>
      <c r="B394" s="140"/>
      <c r="C394" s="140"/>
      <c r="D394" s="140"/>
      <c r="E394" s="137"/>
      <c r="F394" s="203"/>
      <c r="G394" s="140"/>
      <c r="H394" s="182">
        <f>SUM(H391:H393)</f>
        <v>2025.53</v>
      </c>
    </row>
    <row r="395" spans="1:8" x14ac:dyDescent="0.25">
      <c r="A395" s="131"/>
      <c r="B395" s="132"/>
      <c r="C395" s="132"/>
      <c r="D395" s="133"/>
      <c r="E395" s="134"/>
      <c r="F395" s="135"/>
      <c r="G395" s="133"/>
      <c r="H395" s="136"/>
    </row>
    <row r="396" spans="1:8" ht="57" x14ac:dyDescent="0.25">
      <c r="A396" s="141" t="s">
        <v>896</v>
      </c>
      <c r="B396" s="141" t="s">
        <v>14</v>
      </c>
      <c r="C396" s="142" t="s">
        <v>13</v>
      </c>
      <c r="D396" s="164" t="s">
        <v>897</v>
      </c>
      <c r="E396" s="141" t="s">
        <v>46</v>
      </c>
      <c r="F396" s="204" t="s">
        <v>1025</v>
      </c>
      <c r="G396" s="142" t="s">
        <v>1026</v>
      </c>
      <c r="H396" s="146" t="s">
        <v>1027</v>
      </c>
    </row>
    <row r="397" spans="1:8" ht="22.5" x14ac:dyDescent="0.25">
      <c r="A397" s="184" t="s">
        <v>1029</v>
      </c>
      <c r="B397" s="147" t="s">
        <v>25</v>
      </c>
      <c r="C397" s="147">
        <v>88247</v>
      </c>
      <c r="D397" s="206" t="s">
        <v>1181</v>
      </c>
      <c r="E397" s="147" t="s">
        <v>997</v>
      </c>
      <c r="F397" s="201">
        <v>1.25</v>
      </c>
      <c r="G397" s="150">
        <v>16.3</v>
      </c>
      <c r="H397" s="150">
        <f>F397*G397</f>
        <v>20.375</v>
      </c>
    </row>
    <row r="398" spans="1:8" ht="22.5" x14ac:dyDescent="0.25">
      <c r="A398" s="147" t="s">
        <v>1029</v>
      </c>
      <c r="B398" s="205" t="s">
        <v>25</v>
      </c>
      <c r="C398" s="211">
        <v>88264</v>
      </c>
      <c r="D398" s="208" t="s">
        <v>1182</v>
      </c>
      <c r="E398" s="207" t="s">
        <v>997</v>
      </c>
      <c r="F398" s="212">
        <v>1.25</v>
      </c>
      <c r="G398" s="150">
        <v>21.05</v>
      </c>
      <c r="H398" s="150">
        <f>F398*G398</f>
        <v>26.3125</v>
      </c>
    </row>
    <row r="399" spans="1:8" ht="33.75" x14ac:dyDescent="0.25">
      <c r="A399" s="147" t="s">
        <v>1032</v>
      </c>
      <c r="B399" s="205" t="s">
        <v>25</v>
      </c>
      <c r="C399" s="211">
        <v>39771</v>
      </c>
      <c r="D399" s="208" t="s">
        <v>1223</v>
      </c>
      <c r="E399" s="207" t="s">
        <v>46</v>
      </c>
      <c r="F399" s="212">
        <v>1</v>
      </c>
      <c r="G399" s="150">
        <v>23.03</v>
      </c>
      <c r="H399" s="150">
        <f>F399*G399</f>
        <v>23.03</v>
      </c>
    </row>
    <row r="400" spans="1:8" x14ac:dyDescent="0.25">
      <c r="A400" s="152"/>
      <c r="B400" s="140"/>
      <c r="C400" s="140"/>
      <c r="D400" s="140"/>
      <c r="E400" s="137"/>
      <c r="F400" s="203"/>
      <c r="G400" s="140"/>
      <c r="H400" s="182">
        <f>SUM(H397:H399)</f>
        <v>69.717500000000001</v>
      </c>
    </row>
    <row r="401" spans="1:8" x14ac:dyDescent="0.25">
      <c r="A401" s="131"/>
      <c r="B401" s="132"/>
      <c r="C401" s="132"/>
      <c r="D401" s="133"/>
      <c r="E401" s="134"/>
      <c r="F401" s="135"/>
      <c r="G401" s="133"/>
      <c r="H401" s="136"/>
    </row>
    <row r="402" spans="1:8" ht="22.5" x14ac:dyDescent="0.25">
      <c r="A402" s="141" t="s">
        <v>836</v>
      </c>
      <c r="B402" s="141" t="s">
        <v>14</v>
      </c>
      <c r="C402" s="142" t="s">
        <v>13</v>
      </c>
      <c r="D402" s="160" t="s">
        <v>837</v>
      </c>
      <c r="E402" s="141" t="s">
        <v>46</v>
      </c>
      <c r="F402" s="204" t="s">
        <v>1025</v>
      </c>
      <c r="G402" s="142" t="s">
        <v>1026</v>
      </c>
      <c r="H402" s="146" t="s">
        <v>1027</v>
      </c>
    </row>
    <row r="403" spans="1:8" ht="22.5" x14ac:dyDescent="0.25">
      <c r="A403" s="184" t="s">
        <v>1029</v>
      </c>
      <c r="B403" s="147" t="s">
        <v>25</v>
      </c>
      <c r="C403" s="147">
        <v>88247</v>
      </c>
      <c r="D403" s="206" t="s">
        <v>1181</v>
      </c>
      <c r="E403" s="147" t="s">
        <v>997</v>
      </c>
      <c r="F403" s="201">
        <v>1</v>
      </c>
      <c r="G403" s="150">
        <v>16.3</v>
      </c>
      <c r="H403" s="150">
        <f>F403*G403</f>
        <v>16.3</v>
      </c>
    </row>
    <row r="404" spans="1:8" ht="22.5" x14ac:dyDescent="0.25">
      <c r="A404" s="147" t="s">
        <v>1029</v>
      </c>
      <c r="B404" s="205" t="s">
        <v>25</v>
      </c>
      <c r="C404" s="211">
        <v>88264</v>
      </c>
      <c r="D404" s="208" t="s">
        <v>1182</v>
      </c>
      <c r="E404" s="207" t="s">
        <v>997</v>
      </c>
      <c r="F404" s="212">
        <v>1</v>
      </c>
      <c r="G404" s="150">
        <v>21.05</v>
      </c>
      <c r="H404" s="150">
        <f>F404*G404</f>
        <v>21.05</v>
      </c>
    </row>
    <row r="405" spans="1:8" ht="33.75" x14ac:dyDescent="0.25">
      <c r="A405" s="147" t="s">
        <v>1032</v>
      </c>
      <c r="B405" s="214" t="s">
        <v>25</v>
      </c>
      <c r="C405" s="211">
        <v>4332</v>
      </c>
      <c r="D405" s="208" t="s">
        <v>1224</v>
      </c>
      <c r="E405" s="207" t="s">
        <v>46</v>
      </c>
      <c r="F405" s="212">
        <v>2</v>
      </c>
      <c r="G405" s="150">
        <v>0.65</v>
      </c>
      <c r="H405" s="150">
        <f>F405*G405</f>
        <v>1.3</v>
      </c>
    </row>
    <row r="406" spans="1:8" ht="22.5" x14ac:dyDescent="0.25">
      <c r="A406" s="147" t="s">
        <v>1032</v>
      </c>
      <c r="B406" s="214" t="s">
        <v>1220</v>
      </c>
      <c r="C406" s="214" t="s">
        <v>1225</v>
      </c>
      <c r="D406" s="208" t="s">
        <v>1226</v>
      </c>
      <c r="E406" s="207" t="s">
        <v>46</v>
      </c>
      <c r="F406" s="212">
        <v>1</v>
      </c>
      <c r="G406" s="150">
        <f>Cotações!E21</f>
        <v>195.09</v>
      </c>
      <c r="H406" s="150">
        <f>F406*G406</f>
        <v>195.09</v>
      </c>
    </row>
    <row r="407" spans="1:8" x14ac:dyDescent="0.25">
      <c r="A407" s="152"/>
      <c r="B407" s="140"/>
      <c r="C407" s="140"/>
      <c r="D407" s="140"/>
      <c r="E407" s="137"/>
      <c r="F407" s="203"/>
      <c r="G407" s="140"/>
      <c r="H407" s="182">
        <f>SUM(H403:H406)</f>
        <v>233.74</v>
      </c>
    </row>
    <row r="408" spans="1:8" x14ac:dyDescent="0.25">
      <c r="A408" s="131"/>
      <c r="B408" s="132"/>
      <c r="C408" s="132"/>
      <c r="D408" s="133"/>
      <c r="E408" s="134"/>
      <c r="F408" s="135"/>
      <c r="G408" s="133"/>
      <c r="H408" s="136"/>
    </row>
    <row r="409" spans="1:8" ht="45.75" x14ac:dyDescent="0.25">
      <c r="A409" s="141" t="s">
        <v>833</v>
      </c>
      <c r="B409" s="141" t="s">
        <v>14</v>
      </c>
      <c r="C409" s="142" t="s">
        <v>13</v>
      </c>
      <c r="D409" s="164" t="s">
        <v>834</v>
      </c>
      <c r="E409" s="141" t="s">
        <v>46</v>
      </c>
      <c r="F409" s="204" t="s">
        <v>1025</v>
      </c>
      <c r="G409" s="142" t="s">
        <v>1026</v>
      </c>
      <c r="H409" s="146" t="s">
        <v>1027</v>
      </c>
    </row>
    <row r="410" spans="1:8" ht="22.5" x14ac:dyDescent="0.25">
      <c r="A410" s="184" t="s">
        <v>1029</v>
      </c>
      <c r="B410" s="147" t="s">
        <v>25</v>
      </c>
      <c r="C410" s="147">
        <v>88247</v>
      </c>
      <c r="D410" s="206" t="s">
        <v>1181</v>
      </c>
      <c r="E410" s="147" t="s">
        <v>997</v>
      </c>
      <c r="F410" s="201">
        <v>1</v>
      </c>
      <c r="G410" s="150">
        <v>16.3</v>
      </c>
      <c r="H410" s="150">
        <f>F410*G410</f>
        <v>16.3</v>
      </c>
    </row>
    <row r="411" spans="1:8" ht="22.5" x14ac:dyDescent="0.25">
      <c r="A411" s="147" t="s">
        <v>1029</v>
      </c>
      <c r="B411" s="205" t="s">
        <v>25</v>
      </c>
      <c r="C411" s="211">
        <v>88264</v>
      </c>
      <c r="D411" s="208" t="s">
        <v>1182</v>
      </c>
      <c r="E411" s="207" t="s">
        <v>997</v>
      </c>
      <c r="F411" s="212">
        <v>1</v>
      </c>
      <c r="G411" s="150">
        <v>21.05</v>
      </c>
      <c r="H411" s="150">
        <f>F411*G411</f>
        <v>21.05</v>
      </c>
    </row>
    <row r="412" spans="1:8" ht="56.25" x14ac:dyDescent="0.25">
      <c r="A412" s="147" t="s">
        <v>1032</v>
      </c>
      <c r="B412" s="205" t="s">
        <v>25</v>
      </c>
      <c r="C412" s="211">
        <v>12239</v>
      </c>
      <c r="D412" s="208" t="s">
        <v>1227</v>
      </c>
      <c r="E412" s="207" t="s">
        <v>46</v>
      </c>
      <c r="F412" s="212">
        <v>1</v>
      </c>
      <c r="G412" s="150">
        <v>17.91</v>
      </c>
      <c r="H412" s="150">
        <f>F412*G412</f>
        <v>17.91</v>
      </c>
    </row>
    <row r="413" spans="1:8" ht="22.5" x14ac:dyDescent="0.25">
      <c r="A413" s="147" t="s">
        <v>1032</v>
      </c>
      <c r="B413" s="205" t="s">
        <v>25</v>
      </c>
      <c r="C413" s="211">
        <v>39387</v>
      </c>
      <c r="D413" s="208" t="s">
        <v>1228</v>
      </c>
      <c r="E413" s="207" t="s">
        <v>46</v>
      </c>
      <c r="F413" s="212">
        <v>2</v>
      </c>
      <c r="G413" s="150">
        <v>40.61</v>
      </c>
      <c r="H413" s="150">
        <f>F413*G413</f>
        <v>81.22</v>
      </c>
    </row>
    <row r="414" spans="1:8" x14ac:dyDescent="0.25">
      <c r="A414" s="152"/>
      <c r="B414" s="140"/>
      <c r="C414" s="140"/>
      <c r="D414" s="140"/>
      <c r="E414" s="137"/>
      <c r="F414" s="203"/>
      <c r="G414" s="140"/>
      <c r="H414" s="182">
        <f>SUM(H410:H413)</f>
        <v>136.48000000000002</v>
      </c>
    </row>
    <row r="415" spans="1:8" x14ac:dyDescent="0.25">
      <c r="A415" s="131"/>
      <c r="B415" s="132"/>
      <c r="C415" s="132"/>
      <c r="D415" s="133"/>
      <c r="E415" s="134"/>
      <c r="F415" s="135"/>
      <c r="G415" s="133"/>
      <c r="H415" s="136"/>
    </row>
    <row r="416" spans="1:8" ht="57" x14ac:dyDescent="0.25">
      <c r="A416" s="141" t="s">
        <v>839</v>
      </c>
      <c r="B416" s="141" t="s">
        <v>14</v>
      </c>
      <c r="C416" s="142" t="s">
        <v>13</v>
      </c>
      <c r="D416" s="164" t="s">
        <v>840</v>
      </c>
      <c r="E416" s="141" t="s">
        <v>46</v>
      </c>
      <c r="F416" s="204" t="s">
        <v>1025</v>
      </c>
      <c r="G416" s="142" t="s">
        <v>1026</v>
      </c>
      <c r="H416" s="146" t="s">
        <v>1027</v>
      </c>
    </row>
    <row r="417" spans="1:8" ht="22.5" x14ac:dyDescent="0.25">
      <c r="A417" s="184" t="s">
        <v>1029</v>
      </c>
      <c r="B417" s="147" t="s">
        <v>25</v>
      </c>
      <c r="C417" s="147">
        <v>88247</v>
      </c>
      <c r="D417" s="206" t="s">
        <v>1181</v>
      </c>
      <c r="E417" s="147" t="s">
        <v>997</v>
      </c>
      <c r="F417" s="201">
        <v>0.35</v>
      </c>
      <c r="G417" s="150">
        <v>16.3</v>
      </c>
      <c r="H417" s="150">
        <f>F417*G417</f>
        <v>5.7050000000000001</v>
      </c>
    </row>
    <row r="418" spans="1:8" ht="22.5" x14ac:dyDescent="0.25">
      <c r="A418" s="147" t="s">
        <v>1029</v>
      </c>
      <c r="B418" s="205" t="s">
        <v>25</v>
      </c>
      <c r="C418" s="211">
        <v>88264</v>
      </c>
      <c r="D418" s="208" t="s">
        <v>1182</v>
      </c>
      <c r="E418" s="207" t="s">
        <v>997</v>
      </c>
      <c r="F418" s="212">
        <v>0.35</v>
      </c>
      <c r="G418" s="150">
        <v>21.05</v>
      </c>
      <c r="H418" s="150">
        <f>F418*G418</f>
        <v>7.3674999999999997</v>
      </c>
    </row>
    <row r="419" spans="1:8" ht="22.5" x14ac:dyDescent="0.25">
      <c r="A419" s="147" t="s">
        <v>1032</v>
      </c>
      <c r="B419" s="205" t="s">
        <v>25</v>
      </c>
      <c r="C419" s="211">
        <v>38194</v>
      </c>
      <c r="D419" s="208" t="s">
        <v>1229</v>
      </c>
      <c r="E419" s="207" t="s">
        <v>46</v>
      </c>
      <c r="F419" s="212">
        <v>1</v>
      </c>
      <c r="G419" s="150">
        <v>22.9</v>
      </c>
      <c r="H419" s="150">
        <f>F419*G419</f>
        <v>22.9</v>
      </c>
    </row>
    <row r="420" spans="1:8" ht="45" x14ac:dyDescent="0.25">
      <c r="A420" s="147" t="s">
        <v>1032</v>
      </c>
      <c r="B420" s="205" t="s">
        <v>25</v>
      </c>
      <c r="C420" s="211">
        <v>38773</v>
      </c>
      <c r="D420" s="208" t="s">
        <v>1230</v>
      </c>
      <c r="E420" s="207" t="s">
        <v>46</v>
      </c>
      <c r="F420" s="212">
        <v>1</v>
      </c>
      <c r="G420" s="150">
        <v>2.87</v>
      </c>
      <c r="H420" s="150">
        <f>F420*G420</f>
        <v>2.87</v>
      </c>
    </row>
    <row r="421" spans="1:8" x14ac:dyDescent="0.25">
      <c r="A421" s="152"/>
      <c r="B421" s="140"/>
      <c r="C421" s="140"/>
      <c r="D421" s="140"/>
      <c r="E421" s="137"/>
      <c r="F421" s="203"/>
      <c r="G421" s="140"/>
      <c r="H421" s="182">
        <f>SUM(H417:H420)</f>
        <v>38.842499999999994</v>
      </c>
    </row>
    <row r="422" spans="1:8" x14ac:dyDescent="0.25">
      <c r="A422" s="18"/>
      <c r="B422" s="18"/>
      <c r="C422" s="18"/>
      <c r="D422" s="18"/>
      <c r="E422" s="18"/>
      <c r="F422" s="18"/>
      <c r="G422" s="18"/>
      <c r="H422" s="18"/>
    </row>
    <row r="423" spans="1:8" ht="45.75" x14ac:dyDescent="0.25">
      <c r="A423" s="141" t="s">
        <v>847</v>
      </c>
      <c r="B423" s="141" t="s">
        <v>14</v>
      </c>
      <c r="C423" s="142" t="s">
        <v>13</v>
      </c>
      <c r="D423" s="164" t="s">
        <v>848</v>
      </c>
      <c r="E423" s="141" t="s">
        <v>46</v>
      </c>
      <c r="F423" s="204" t="s">
        <v>1025</v>
      </c>
      <c r="G423" s="142" t="s">
        <v>1026</v>
      </c>
      <c r="H423" s="146" t="s">
        <v>1027</v>
      </c>
    </row>
    <row r="424" spans="1:8" ht="22.5" x14ac:dyDescent="0.25">
      <c r="A424" s="184" t="s">
        <v>1029</v>
      </c>
      <c r="B424" s="147" t="s">
        <v>25</v>
      </c>
      <c r="C424" s="147">
        <v>88247</v>
      </c>
      <c r="D424" s="206" t="s">
        <v>1181</v>
      </c>
      <c r="E424" s="147" t="s">
        <v>997</v>
      </c>
      <c r="F424" s="201">
        <v>0.4</v>
      </c>
      <c r="G424" s="150">
        <v>16.3</v>
      </c>
      <c r="H424" s="150">
        <f>F424*G424</f>
        <v>6.5200000000000005</v>
      </c>
    </row>
    <row r="425" spans="1:8" ht="22.5" x14ac:dyDescent="0.25">
      <c r="A425" s="147" t="s">
        <v>1029</v>
      </c>
      <c r="B425" s="205" t="s">
        <v>25</v>
      </c>
      <c r="C425" s="211">
        <v>88264</v>
      </c>
      <c r="D425" s="208" t="s">
        <v>1182</v>
      </c>
      <c r="E425" s="207" t="s">
        <v>997</v>
      </c>
      <c r="F425" s="212">
        <v>0.4</v>
      </c>
      <c r="G425" s="150">
        <v>21.05</v>
      </c>
      <c r="H425" s="150">
        <f>F425*G425</f>
        <v>8.42</v>
      </c>
    </row>
    <row r="426" spans="1:8" ht="45" x14ac:dyDescent="0.25">
      <c r="A426" s="147" t="s">
        <v>1032</v>
      </c>
      <c r="B426" s="205" t="s">
        <v>1122</v>
      </c>
      <c r="C426" s="214">
        <v>4037</v>
      </c>
      <c r="D426" s="215" t="s">
        <v>1231</v>
      </c>
      <c r="E426" s="216" t="s">
        <v>46</v>
      </c>
      <c r="F426" s="217">
        <v>1</v>
      </c>
      <c r="G426" s="218">
        <v>4.7</v>
      </c>
      <c r="H426" s="150">
        <f>F426*G426</f>
        <v>4.7</v>
      </c>
    </row>
    <row r="427" spans="1:8" ht="33.75" x14ac:dyDescent="0.25">
      <c r="A427" s="147" t="s">
        <v>1032</v>
      </c>
      <c r="B427" s="205" t="s">
        <v>1122</v>
      </c>
      <c r="C427" s="214">
        <v>11830</v>
      </c>
      <c r="D427" s="215" t="s">
        <v>1232</v>
      </c>
      <c r="E427" s="216" t="s">
        <v>46</v>
      </c>
      <c r="F427" s="217">
        <v>1</v>
      </c>
      <c r="G427" s="218">
        <v>47.49</v>
      </c>
      <c r="H427" s="150">
        <f>F427*G427</f>
        <v>47.49</v>
      </c>
    </row>
    <row r="428" spans="1:8" x14ac:dyDescent="0.25">
      <c r="A428" s="152"/>
      <c r="B428" s="140"/>
      <c r="C428" s="140"/>
      <c r="D428" s="140"/>
      <c r="E428" s="137"/>
      <c r="F428" s="203"/>
      <c r="G428" s="140"/>
      <c r="H428" s="182">
        <f>SUM(H424:H427)</f>
        <v>67.13</v>
      </c>
    </row>
    <row r="429" spans="1:8" x14ac:dyDescent="0.25">
      <c r="A429" s="18"/>
      <c r="B429" s="18"/>
      <c r="C429" s="18"/>
      <c r="D429" s="18"/>
      <c r="E429" s="18"/>
      <c r="F429" s="18"/>
      <c r="G429" s="18"/>
      <c r="H429" s="18"/>
    </row>
    <row r="430" spans="1:8" ht="34.5" x14ac:dyDescent="0.25">
      <c r="A430" s="141" t="s">
        <v>850</v>
      </c>
      <c r="B430" s="141" t="s">
        <v>14</v>
      </c>
      <c r="C430" s="142" t="s">
        <v>13</v>
      </c>
      <c r="D430" s="164" t="s">
        <v>1233</v>
      </c>
      <c r="E430" s="141" t="s">
        <v>46</v>
      </c>
      <c r="F430" s="204" t="s">
        <v>1025</v>
      </c>
      <c r="G430" s="142" t="s">
        <v>1026</v>
      </c>
      <c r="H430" s="146" t="s">
        <v>1027</v>
      </c>
    </row>
    <row r="431" spans="1:8" ht="22.5" x14ac:dyDescent="0.25">
      <c r="A431" s="184" t="s">
        <v>1029</v>
      </c>
      <c r="B431" s="147" t="s">
        <v>25</v>
      </c>
      <c r="C431" s="147">
        <v>88247</v>
      </c>
      <c r="D431" s="206" t="s">
        <v>1181</v>
      </c>
      <c r="E431" s="147" t="s">
        <v>997</v>
      </c>
      <c r="F431" s="201">
        <v>0.4</v>
      </c>
      <c r="G431" s="150">
        <v>16.3</v>
      </c>
      <c r="H431" s="150">
        <f>F431*G431</f>
        <v>6.5200000000000005</v>
      </c>
    </row>
    <row r="432" spans="1:8" ht="22.5" x14ac:dyDescent="0.25">
      <c r="A432" s="147" t="s">
        <v>1029</v>
      </c>
      <c r="B432" s="205" t="s">
        <v>25</v>
      </c>
      <c r="C432" s="211">
        <v>88264</v>
      </c>
      <c r="D432" s="208" t="s">
        <v>1182</v>
      </c>
      <c r="E432" s="207" t="s">
        <v>997</v>
      </c>
      <c r="F432" s="212">
        <v>0.4</v>
      </c>
      <c r="G432" s="150">
        <v>21.05</v>
      </c>
      <c r="H432" s="150">
        <f>F432*G432</f>
        <v>8.42</v>
      </c>
    </row>
    <row r="433" spans="1:8" ht="22.5" x14ac:dyDescent="0.25">
      <c r="A433" s="147" t="s">
        <v>1032</v>
      </c>
      <c r="B433" s="219" t="s">
        <v>1122</v>
      </c>
      <c r="C433" s="211" t="s">
        <v>1234</v>
      </c>
      <c r="D433" s="208" t="s">
        <v>1235</v>
      </c>
      <c r="E433" s="207" t="s">
        <v>46</v>
      </c>
      <c r="F433" s="212">
        <v>1</v>
      </c>
      <c r="G433" s="220">
        <v>25.1</v>
      </c>
      <c r="H433" s="150">
        <f>F433*G433</f>
        <v>25.1</v>
      </c>
    </row>
    <row r="434" spans="1:8" x14ac:dyDescent="0.25">
      <c r="A434" s="152"/>
      <c r="B434" s="140"/>
      <c r="C434" s="140"/>
      <c r="D434" s="140"/>
      <c r="E434" s="137"/>
      <c r="F434" s="203"/>
      <c r="G434" s="140"/>
      <c r="H434" s="182">
        <f>SUM(H431:H433)</f>
        <v>40.040000000000006</v>
      </c>
    </row>
    <row r="435" spans="1:8" x14ac:dyDescent="0.25">
      <c r="A435" s="18"/>
      <c r="B435" s="18"/>
      <c r="C435" s="18"/>
      <c r="D435" s="18"/>
      <c r="E435" s="18"/>
      <c r="F435" s="18"/>
      <c r="G435" s="18"/>
      <c r="H435" s="18"/>
    </row>
    <row r="436" spans="1:8" ht="34.5" x14ac:dyDescent="0.25">
      <c r="A436" s="141" t="s">
        <v>853</v>
      </c>
      <c r="B436" s="141" t="s">
        <v>14</v>
      </c>
      <c r="C436" s="142" t="s">
        <v>13</v>
      </c>
      <c r="D436" s="164" t="s">
        <v>1236</v>
      </c>
      <c r="E436" s="141" t="s">
        <v>46</v>
      </c>
      <c r="F436" s="204" t="s">
        <v>1025</v>
      </c>
      <c r="G436" s="142" t="s">
        <v>1026</v>
      </c>
      <c r="H436" s="146" t="s">
        <v>1027</v>
      </c>
    </row>
    <row r="437" spans="1:8" ht="22.5" x14ac:dyDescent="0.25">
      <c r="A437" s="184" t="s">
        <v>1029</v>
      </c>
      <c r="B437" s="147" t="s">
        <v>25</v>
      </c>
      <c r="C437" s="147">
        <v>88247</v>
      </c>
      <c r="D437" s="206" t="s">
        <v>1181</v>
      </c>
      <c r="E437" s="147" t="s">
        <v>997</v>
      </c>
      <c r="F437" s="201">
        <v>0.4</v>
      </c>
      <c r="G437" s="150">
        <v>16.3</v>
      </c>
      <c r="H437" s="150">
        <f>F437*G437</f>
        <v>6.5200000000000005</v>
      </c>
    </row>
    <row r="438" spans="1:8" ht="22.5" x14ac:dyDescent="0.25">
      <c r="A438" s="147" t="s">
        <v>1029</v>
      </c>
      <c r="B438" s="205" t="s">
        <v>25</v>
      </c>
      <c r="C438" s="211">
        <v>88264</v>
      </c>
      <c r="D438" s="208" t="s">
        <v>1182</v>
      </c>
      <c r="E438" s="207" t="s">
        <v>997</v>
      </c>
      <c r="F438" s="212">
        <v>0.4</v>
      </c>
      <c r="G438" s="150">
        <v>21.05</v>
      </c>
      <c r="H438" s="150">
        <f>F438*G438</f>
        <v>8.42</v>
      </c>
    </row>
    <row r="439" spans="1:8" ht="22.5" x14ac:dyDescent="0.25">
      <c r="A439" s="147" t="s">
        <v>1032</v>
      </c>
      <c r="B439" s="219" t="s">
        <v>1122</v>
      </c>
      <c r="C439" s="211" t="s">
        <v>1237</v>
      </c>
      <c r="D439" s="208" t="s">
        <v>1238</v>
      </c>
      <c r="E439" s="207" t="s">
        <v>46</v>
      </c>
      <c r="F439" s="212">
        <v>1</v>
      </c>
      <c r="G439" s="220">
        <v>23.9</v>
      </c>
      <c r="H439" s="150">
        <f>F439*G439</f>
        <v>23.9</v>
      </c>
    </row>
    <row r="440" spans="1:8" x14ac:dyDescent="0.25">
      <c r="A440" s="152"/>
      <c r="B440" s="140"/>
      <c r="C440" s="140"/>
      <c r="D440" s="140"/>
      <c r="E440" s="137"/>
      <c r="F440" s="203"/>
      <c r="G440" s="140"/>
      <c r="H440" s="182">
        <f>SUM(H437:H439)</f>
        <v>38.840000000000003</v>
      </c>
    </row>
    <row r="441" spans="1:8" x14ac:dyDescent="0.25">
      <c r="A441" s="18"/>
      <c r="B441" s="18"/>
      <c r="C441" s="18"/>
      <c r="D441" s="18"/>
      <c r="E441" s="18"/>
      <c r="F441" s="18"/>
      <c r="G441" s="18"/>
      <c r="H441" s="18"/>
    </row>
    <row r="442" spans="1:8" x14ac:dyDescent="0.25">
      <c r="A442" s="17"/>
      <c r="B442" s="29"/>
      <c r="C442" s="29"/>
      <c r="D442" s="18"/>
      <c r="E442" s="20"/>
      <c r="F442" s="129"/>
      <c r="G442" s="18"/>
      <c r="H442" s="130"/>
    </row>
    <row r="443" spans="1:8" ht="34.5" x14ac:dyDescent="0.25">
      <c r="A443" s="141" t="s">
        <v>856</v>
      </c>
      <c r="B443" s="141" t="s">
        <v>14</v>
      </c>
      <c r="C443" s="142" t="s">
        <v>13</v>
      </c>
      <c r="D443" s="164" t="s">
        <v>1239</v>
      </c>
      <c r="E443" s="141" t="s">
        <v>46</v>
      </c>
      <c r="F443" s="204" t="s">
        <v>1025</v>
      </c>
      <c r="G443" s="142" t="s">
        <v>1026</v>
      </c>
      <c r="H443" s="146" t="s">
        <v>1027</v>
      </c>
    </row>
    <row r="444" spans="1:8" ht="22.5" x14ac:dyDescent="0.25">
      <c r="A444" s="184" t="s">
        <v>1029</v>
      </c>
      <c r="B444" s="147" t="s">
        <v>25</v>
      </c>
      <c r="C444" s="147">
        <v>88247</v>
      </c>
      <c r="D444" s="206" t="s">
        <v>1181</v>
      </c>
      <c r="E444" s="147" t="s">
        <v>997</v>
      </c>
      <c r="F444" s="201">
        <v>0.4</v>
      </c>
      <c r="G444" s="150">
        <v>16.3</v>
      </c>
      <c r="H444" s="150">
        <f>F444*G444</f>
        <v>6.5200000000000005</v>
      </c>
    </row>
    <row r="445" spans="1:8" ht="22.5" x14ac:dyDescent="0.25">
      <c r="A445" s="147" t="s">
        <v>1029</v>
      </c>
      <c r="B445" s="205" t="s">
        <v>25</v>
      </c>
      <c r="C445" s="211">
        <v>88264</v>
      </c>
      <c r="D445" s="208" t="s">
        <v>1182</v>
      </c>
      <c r="E445" s="207" t="s">
        <v>997</v>
      </c>
      <c r="F445" s="212">
        <v>0.4</v>
      </c>
      <c r="G445" s="150">
        <v>21.05</v>
      </c>
      <c r="H445" s="150">
        <f>F445*G445</f>
        <v>8.42</v>
      </c>
    </row>
    <row r="446" spans="1:8" ht="22.5" x14ac:dyDescent="0.25">
      <c r="A446" s="147" t="s">
        <v>1032</v>
      </c>
      <c r="B446" s="219" t="s">
        <v>1122</v>
      </c>
      <c r="C446" s="211" t="s">
        <v>1240</v>
      </c>
      <c r="D446" s="208" t="s">
        <v>1241</v>
      </c>
      <c r="E446" s="207" t="s">
        <v>46</v>
      </c>
      <c r="F446" s="212">
        <v>1</v>
      </c>
      <c r="G446" s="220">
        <v>29.7</v>
      </c>
      <c r="H446" s="150">
        <f>F446*G446</f>
        <v>29.7</v>
      </c>
    </row>
    <row r="447" spans="1:8" x14ac:dyDescent="0.25">
      <c r="A447" s="152"/>
      <c r="B447" s="140"/>
      <c r="C447" s="140"/>
      <c r="D447" s="140"/>
      <c r="E447" s="137"/>
      <c r="F447" s="203"/>
      <c r="G447" s="140"/>
      <c r="H447" s="182">
        <f>SUM(H444:H446)</f>
        <v>44.64</v>
      </c>
    </row>
    <row r="448" spans="1:8" x14ac:dyDescent="0.25">
      <c r="A448" s="131"/>
      <c r="B448" s="132"/>
      <c r="C448" s="132"/>
      <c r="D448" s="133"/>
      <c r="E448" s="134"/>
      <c r="F448" s="135"/>
      <c r="G448" s="133"/>
      <c r="H448" s="136"/>
    </row>
    <row r="449" spans="1:8" ht="34.5" x14ac:dyDescent="0.25">
      <c r="A449" s="141" t="s">
        <v>859</v>
      </c>
      <c r="B449" s="141" t="s">
        <v>14</v>
      </c>
      <c r="C449" s="142" t="s">
        <v>13</v>
      </c>
      <c r="D449" s="164" t="s">
        <v>1242</v>
      </c>
      <c r="E449" s="141" t="s">
        <v>46</v>
      </c>
      <c r="F449" s="204" t="s">
        <v>1025</v>
      </c>
      <c r="G449" s="142" t="s">
        <v>1026</v>
      </c>
      <c r="H449" s="146" t="s">
        <v>1027</v>
      </c>
    </row>
    <row r="450" spans="1:8" ht="22.5" x14ac:dyDescent="0.25">
      <c r="A450" s="184" t="s">
        <v>1029</v>
      </c>
      <c r="B450" s="147" t="s">
        <v>25</v>
      </c>
      <c r="C450" s="147">
        <v>88247</v>
      </c>
      <c r="D450" s="206" t="s">
        <v>1181</v>
      </c>
      <c r="E450" s="147" t="s">
        <v>997</v>
      </c>
      <c r="F450" s="201">
        <v>0.4</v>
      </c>
      <c r="G450" s="150">
        <v>16.3</v>
      </c>
      <c r="H450" s="150">
        <f>F450*G450</f>
        <v>6.5200000000000005</v>
      </c>
    </row>
    <row r="451" spans="1:8" ht="22.5" x14ac:dyDescent="0.25">
      <c r="A451" s="147" t="s">
        <v>1029</v>
      </c>
      <c r="B451" s="205" t="s">
        <v>25</v>
      </c>
      <c r="C451" s="211">
        <v>88264</v>
      </c>
      <c r="D451" s="208" t="s">
        <v>1182</v>
      </c>
      <c r="E451" s="207" t="s">
        <v>997</v>
      </c>
      <c r="F451" s="212">
        <v>0.4</v>
      </c>
      <c r="G451" s="150">
        <v>21.05</v>
      </c>
      <c r="H451" s="150">
        <f>F451*G451</f>
        <v>8.42</v>
      </c>
    </row>
    <row r="452" spans="1:8" ht="22.5" x14ac:dyDescent="0.25">
      <c r="A452" s="147" t="s">
        <v>1032</v>
      </c>
      <c r="B452" s="219" t="s">
        <v>1122</v>
      </c>
      <c r="C452" s="211" t="s">
        <v>1243</v>
      </c>
      <c r="D452" s="208" t="s">
        <v>1244</v>
      </c>
      <c r="E452" s="207" t="s">
        <v>46</v>
      </c>
      <c r="F452" s="212">
        <v>1</v>
      </c>
      <c r="G452" s="220">
        <v>32.86</v>
      </c>
      <c r="H452" s="150">
        <f>F452*G452</f>
        <v>32.86</v>
      </c>
    </row>
    <row r="453" spans="1:8" x14ac:dyDescent="0.25">
      <c r="A453" s="152"/>
      <c r="B453" s="140"/>
      <c r="C453" s="140"/>
      <c r="D453" s="140"/>
      <c r="E453" s="137"/>
      <c r="F453" s="203"/>
      <c r="G453" s="140"/>
      <c r="H453" s="182">
        <f>SUM(H450:H452)</f>
        <v>47.8</v>
      </c>
    </row>
    <row r="454" spans="1:8" x14ac:dyDescent="0.25">
      <c r="A454" s="131"/>
      <c r="B454" s="132"/>
      <c r="C454" s="132"/>
      <c r="D454" s="133"/>
      <c r="E454" s="134"/>
      <c r="F454" s="135"/>
      <c r="G454" s="133"/>
      <c r="H454" s="136"/>
    </row>
    <row r="455" spans="1:8" ht="34.5" x14ac:dyDescent="0.25">
      <c r="A455" s="141" t="s">
        <v>862</v>
      </c>
      <c r="B455" s="141" t="s">
        <v>14</v>
      </c>
      <c r="C455" s="142" t="s">
        <v>13</v>
      </c>
      <c r="D455" s="164" t="s">
        <v>1245</v>
      </c>
      <c r="E455" s="141" t="s">
        <v>46</v>
      </c>
      <c r="F455" s="204" t="s">
        <v>1025</v>
      </c>
      <c r="G455" s="142" t="s">
        <v>1026</v>
      </c>
      <c r="H455" s="146" t="s">
        <v>1027</v>
      </c>
    </row>
    <row r="456" spans="1:8" ht="22.5" x14ac:dyDescent="0.25">
      <c r="A456" s="184" t="s">
        <v>1029</v>
      </c>
      <c r="B456" s="147" t="s">
        <v>25</v>
      </c>
      <c r="C456" s="147">
        <v>88247</v>
      </c>
      <c r="D456" s="206" t="s">
        <v>1181</v>
      </c>
      <c r="E456" s="147" t="s">
        <v>997</v>
      </c>
      <c r="F456" s="201">
        <v>0.4</v>
      </c>
      <c r="G456" s="150">
        <v>16.3</v>
      </c>
      <c r="H456" s="150">
        <f>F456*G456</f>
        <v>6.5200000000000005</v>
      </c>
    </row>
    <row r="457" spans="1:8" ht="22.5" x14ac:dyDescent="0.25">
      <c r="A457" s="147" t="s">
        <v>1029</v>
      </c>
      <c r="B457" s="205" t="s">
        <v>25</v>
      </c>
      <c r="C457" s="211">
        <v>88264</v>
      </c>
      <c r="D457" s="208" t="s">
        <v>1182</v>
      </c>
      <c r="E457" s="207" t="s">
        <v>997</v>
      </c>
      <c r="F457" s="212">
        <v>0.4</v>
      </c>
      <c r="G457" s="150">
        <v>21.05</v>
      </c>
      <c r="H457" s="150">
        <f>F457*G457</f>
        <v>8.42</v>
      </c>
    </row>
    <row r="458" spans="1:8" ht="22.5" x14ac:dyDescent="0.25">
      <c r="A458" s="147" t="s">
        <v>1032</v>
      </c>
      <c r="B458" s="219" t="s">
        <v>1122</v>
      </c>
      <c r="C458" s="211" t="s">
        <v>1246</v>
      </c>
      <c r="D458" s="208" t="s">
        <v>1247</v>
      </c>
      <c r="E458" s="207" t="s">
        <v>46</v>
      </c>
      <c r="F458" s="212">
        <v>1</v>
      </c>
      <c r="G458" s="220">
        <v>24.33</v>
      </c>
      <c r="H458" s="150">
        <f>F458*G458</f>
        <v>24.33</v>
      </c>
    </row>
    <row r="459" spans="1:8" x14ac:dyDescent="0.25">
      <c r="A459" s="152"/>
      <c r="B459" s="140"/>
      <c r="C459" s="140"/>
      <c r="D459" s="140"/>
      <c r="E459" s="137"/>
      <c r="F459" s="203"/>
      <c r="G459" s="140"/>
      <c r="H459" s="182">
        <f>SUM(H456:H458)</f>
        <v>39.269999999999996</v>
      </c>
    </row>
    <row r="460" spans="1:8" x14ac:dyDescent="0.25">
      <c r="A460" s="131"/>
      <c r="B460" s="132"/>
      <c r="C460" s="132"/>
      <c r="D460" s="133"/>
      <c r="E460" s="134"/>
      <c r="F460" s="135"/>
      <c r="G460" s="133"/>
      <c r="H460" s="136"/>
    </row>
    <row r="461" spans="1:8" ht="45.75" x14ac:dyDescent="0.25">
      <c r="A461" s="141" t="s">
        <v>865</v>
      </c>
      <c r="B461" s="141" t="s">
        <v>14</v>
      </c>
      <c r="C461" s="142" t="s">
        <v>13</v>
      </c>
      <c r="D461" s="164" t="s">
        <v>1248</v>
      </c>
      <c r="E461" s="141" t="s">
        <v>46</v>
      </c>
      <c r="F461" s="204" t="s">
        <v>1025</v>
      </c>
      <c r="G461" s="142" t="s">
        <v>1026</v>
      </c>
      <c r="H461" s="146" t="s">
        <v>1027</v>
      </c>
    </row>
    <row r="462" spans="1:8" ht="22.5" x14ac:dyDescent="0.25">
      <c r="A462" s="184" t="s">
        <v>1029</v>
      </c>
      <c r="B462" s="147" t="s">
        <v>25</v>
      </c>
      <c r="C462" s="147">
        <v>88247</v>
      </c>
      <c r="D462" s="206" t="s">
        <v>1181</v>
      </c>
      <c r="E462" s="147" t="s">
        <v>997</v>
      </c>
      <c r="F462" s="201">
        <v>0.01</v>
      </c>
      <c r="G462" s="150">
        <v>16.3</v>
      </c>
      <c r="H462" s="150">
        <f>F462*G462</f>
        <v>0.16300000000000001</v>
      </c>
    </row>
    <row r="463" spans="1:8" ht="22.5" x14ac:dyDescent="0.25">
      <c r="A463" s="147" t="s">
        <v>1029</v>
      </c>
      <c r="B463" s="205" t="s">
        <v>25</v>
      </c>
      <c r="C463" s="211">
        <v>88264</v>
      </c>
      <c r="D463" s="208" t="s">
        <v>1182</v>
      </c>
      <c r="E463" s="207" t="s">
        <v>997</v>
      </c>
      <c r="F463" s="212">
        <v>0.01</v>
      </c>
      <c r="G463" s="150">
        <v>21.05</v>
      </c>
      <c r="H463" s="150">
        <f>F463*G463</f>
        <v>0.21050000000000002</v>
      </c>
    </row>
    <row r="464" spans="1:8" ht="22.5" x14ac:dyDescent="0.25">
      <c r="A464" s="147" t="s">
        <v>1032</v>
      </c>
      <c r="B464" s="219" t="s">
        <v>1122</v>
      </c>
      <c r="C464" s="211" t="s">
        <v>1249</v>
      </c>
      <c r="D464" s="208" t="s">
        <v>1250</v>
      </c>
      <c r="E464" s="207" t="s">
        <v>46</v>
      </c>
      <c r="F464" s="212">
        <v>1</v>
      </c>
      <c r="G464" s="220">
        <v>5.6</v>
      </c>
      <c r="H464" s="150">
        <f>F464*G464</f>
        <v>5.6</v>
      </c>
    </row>
    <row r="465" spans="1:8" x14ac:dyDescent="0.25">
      <c r="A465" s="152"/>
      <c r="B465" s="140"/>
      <c r="C465" s="140"/>
      <c r="D465" s="140"/>
      <c r="E465" s="137"/>
      <c r="F465" s="203"/>
      <c r="G465" s="140"/>
      <c r="H465" s="182">
        <f>SUM(H462:H464)</f>
        <v>5.9734999999999996</v>
      </c>
    </row>
    <row r="466" spans="1:8" x14ac:dyDescent="0.25">
      <c r="A466" s="131"/>
      <c r="B466" s="132"/>
      <c r="C466" s="132"/>
      <c r="D466" s="133"/>
      <c r="E466" s="134"/>
      <c r="F466" s="135"/>
      <c r="G466" s="133"/>
      <c r="H466" s="136"/>
    </row>
    <row r="467" spans="1:8" ht="34.5" x14ac:dyDescent="0.25">
      <c r="A467" s="141" t="s">
        <v>868</v>
      </c>
      <c r="B467" s="141" t="s">
        <v>14</v>
      </c>
      <c r="C467" s="142" t="s">
        <v>13</v>
      </c>
      <c r="D467" s="164" t="s">
        <v>1251</v>
      </c>
      <c r="E467" s="141" t="s">
        <v>46</v>
      </c>
      <c r="F467" s="204" t="s">
        <v>1025</v>
      </c>
      <c r="G467" s="142" t="s">
        <v>1026</v>
      </c>
      <c r="H467" s="146" t="s">
        <v>1027</v>
      </c>
    </row>
    <row r="468" spans="1:8" ht="22.5" x14ac:dyDescent="0.25">
      <c r="A468" s="184" t="s">
        <v>1029</v>
      </c>
      <c r="B468" s="147" t="s">
        <v>25</v>
      </c>
      <c r="C468" s="147">
        <v>88247</v>
      </c>
      <c r="D468" s="206" t="s">
        <v>1181</v>
      </c>
      <c r="E468" s="147" t="s">
        <v>997</v>
      </c>
      <c r="F468" s="201">
        <v>0.6</v>
      </c>
      <c r="G468" s="150">
        <v>16.3</v>
      </c>
      <c r="H468" s="150">
        <f>F468*G468</f>
        <v>9.7799999999999994</v>
      </c>
    </row>
    <row r="469" spans="1:8" ht="22.5" x14ac:dyDescent="0.25">
      <c r="A469" s="147" t="s">
        <v>1029</v>
      </c>
      <c r="B469" s="205" t="s">
        <v>25</v>
      </c>
      <c r="C469" s="211">
        <v>88264</v>
      </c>
      <c r="D469" s="208" t="s">
        <v>1182</v>
      </c>
      <c r="E469" s="207" t="s">
        <v>997</v>
      </c>
      <c r="F469" s="212">
        <v>0.6</v>
      </c>
      <c r="G469" s="150">
        <v>21.05</v>
      </c>
      <c r="H469" s="150">
        <f>F469*G469</f>
        <v>12.63</v>
      </c>
    </row>
    <row r="470" spans="1:8" ht="22.5" x14ac:dyDescent="0.25">
      <c r="A470" s="147" t="s">
        <v>1032</v>
      </c>
      <c r="B470" s="219" t="s">
        <v>1122</v>
      </c>
      <c r="C470" s="211" t="s">
        <v>1252</v>
      </c>
      <c r="D470" s="208" t="s">
        <v>1253</v>
      </c>
      <c r="E470" s="207" t="s">
        <v>46</v>
      </c>
      <c r="F470" s="212">
        <v>1</v>
      </c>
      <c r="G470" s="220">
        <v>4.2</v>
      </c>
      <c r="H470" s="150">
        <f>F470*G470</f>
        <v>4.2</v>
      </c>
    </row>
    <row r="471" spans="1:8" x14ac:dyDescent="0.25">
      <c r="A471" s="152"/>
      <c r="B471" s="140"/>
      <c r="C471" s="140"/>
      <c r="D471" s="140"/>
      <c r="E471" s="137"/>
      <c r="F471" s="203"/>
      <c r="G471" s="140"/>
      <c r="H471" s="182">
        <f>SUM(H468:H470)</f>
        <v>26.61</v>
      </c>
    </row>
    <row r="472" spans="1:8" x14ac:dyDescent="0.25">
      <c r="A472" s="131"/>
      <c r="B472" s="132"/>
      <c r="C472" s="132"/>
      <c r="D472" s="133"/>
      <c r="E472" s="134"/>
      <c r="F472" s="135"/>
      <c r="G472" s="133"/>
      <c r="H472" s="136"/>
    </row>
    <row r="473" spans="1:8" ht="34.5" x14ac:dyDescent="0.25">
      <c r="A473" s="141" t="s">
        <v>871</v>
      </c>
      <c r="B473" s="141" t="s">
        <v>14</v>
      </c>
      <c r="C473" s="142" t="s">
        <v>13</v>
      </c>
      <c r="D473" s="164" t="s">
        <v>1254</v>
      </c>
      <c r="E473" s="141" t="s">
        <v>60</v>
      </c>
      <c r="F473" s="204" t="s">
        <v>1025</v>
      </c>
      <c r="G473" s="142" t="s">
        <v>1026</v>
      </c>
      <c r="H473" s="146" t="s">
        <v>1027</v>
      </c>
    </row>
    <row r="474" spans="1:8" ht="22.5" x14ac:dyDescent="0.25">
      <c r="A474" s="184" t="s">
        <v>1029</v>
      </c>
      <c r="B474" s="147" t="s">
        <v>25</v>
      </c>
      <c r="C474" s="147">
        <v>88247</v>
      </c>
      <c r="D474" s="206" t="s">
        <v>1181</v>
      </c>
      <c r="E474" s="147" t="s">
        <v>997</v>
      </c>
      <c r="F474" s="201">
        <v>0.01</v>
      </c>
      <c r="G474" s="150">
        <v>16.3</v>
      </c>
      <c r="H474" s="150">
        <f>F474*G474</f>
        <v>0.16300000000000001</v>
      </c>
    </row>
    <row r="475" spans="1:8" ht="22.5" x14ac:dyDescent="0.25">
      <c r="A475" s="147" t="s">
        <v>1029</v>
      </c>
      <c r="B475" s="205" t="s">
        <v>25</v>
      </c>
      <c r="C475" s="211">
        <v>88264</v>
      </c>
      <c r="D475" s="208" t="s">
        <v>1182</v>
      </c>
      <c r="E475" s="207" t="s">
        <v>997</v>
      </c>
      <c r="F475" s="212">
        <v>0.01</v>
      </c>
      <c r="G475" s="150">
        <v>21.05</v>
      </c>
      <c r="H475" s="150">
        <f>F475*G475</f>
        <v>0.21050000000000002</v>
      </c>
    </row>
    <row r="476" spans="1:8" ht="22.5" x14ac:dyDescent="0.25">
      <c r="A476" s="147" t="s">
        <v>1032</v>
      </c>
      <c r="B476" s="219" t="s">
        <v>1122</v>
      </c>
      <c r="C476" s="211" t="s">
        <v>1255</v>
      </c>
      <c r="D476" s="208" t="s">
        <v>1256</v>
      </c>
      <c r="E476" s="207" t="s">
        <v>1257</v>
      </c>
      <c r="F476" s="212">
        <v>1</v>
      </c>
      <c r="G476" s="220">
        <v>18.329999999999998</v>
      </c>
      <c r="H476" s="150">
        <f>F476*G476</f>
        <v>18.329999999999998</v>
      </c>
    </row>
    <row r="477" spans="1:8" x14ac:dyDescent="0.25">
      <c r="A477" s="152"/>
      <c r="B477" s="140"/>
      <c r="C477" s="140"/>
      <c r="D477" s="140"/>
      <c r="E477" s="137"/>
      <c r="F477" s="203"/>
      <c r="G477" s="140"/>
      <c r="H477" s="182">
        <f>SUM(H474:H476)</f>
        <v>18.703499999999998</v>
      </c>
    </row>
    <row r="478" spans="1:8" x14ac:dyDescent="0.25">
      <c r="A478" s="131"/>
      <c r="B478" s="132"/>
      <c r="C478" s="132"/>
      <c r="D478" s="133"/>
      <c r="E478" s="134"/>
      <c r="F478" s="135"/>
      <c r="G478" s="133"/>
      <c r="H478" s="136"/>
    </row>
    <row r="479" spans="1:8" ht="34.5" x14ac:dyDescent="0.25">
      <c r="A479" s="141" t="s">
        <v>874</v>
      </c>
      <c r="B479" s="141" t="s">
        <v>14</v>
      </c>
      <c r="C479" s="142" t="s">
        <v>13</v>
      </c>
      <c r="D479" s="164" t="s">
        <v>1258</v>
      </c>
      <c r="E479" s="141" t="s">
        <v>46</v>
      </c>
      <c r="F479" s="204" t="s">
        <v>1025</v>
      </c>
      <c r="G479" s="142" t="s">
        <v>1026</v>
      </c>
      <c r="H479" s="146" t="s">
        <v>1027</v>
      </c>
    </row>
    <row r="480" spans="1:8" ht="22.5" x14ac:dyDescent="0.25">
      <c r="A480" s="184" t="s">
        <v>1029</v>
      </c>
      <c r="B480" s="147" t="s">
        <v>25</v>
      </c>
      <c r="C480" s="147">
        <v>88247</v>
      </c>
      <c r="D480" s="206" t="s">
        <v>1181</v>
      </c>
      <c r="E480" s="147" t="s">
        <v>997</v>
      </c>
      <c r="F480" s="201">
        <v>0.4</v>
      </c>
      <c r="G480" s="150">
        <v>16.3</v>
      </c>
      <c r="H480" s="150">
        <f>F480*G480</f>
        <v>6.5200000000000005</v>
      </c>
    </row>
    <row r="481" spans="1:8" ht="22.5" x14ac:dyDescent="0.25">
      <c r="A481" s="147" t="s">
        <v>1029</v>
      </c>
      <c r="B481" s="205" t="s">
        <v>25</v>
      </c>
      <c r="C481" s="211">
        <v>88264</v>
      </c>
      <c r="D481" s="208" t="s">
        <v>1182</v>
      </c>
      <c r="E481" s="207" t="s">
        <v>997</v>
      </c>
      <c r="F481" s="212">
        <v>0.4</v>
      </c>
      <c r="G481" s="150">
        <v>21.05</v>
      </c>
      <c r="H481" s="150">
        <f>F481*G481</f>
        <v>8.42</v>
      </c>
    </row>
    <row r="482" spans="1:8" ht="22.5" x14ac:dyDescent="0.25">
      <c r="A482" s="147" t="s">
        <v>1032</v>
      </c>
      <c r="B482" s="219" t="s">
        <v>1122</v>
      </c>
      <c r="C482" s="211" t="s">
        <v>1259</v>
      </c>
      <c r="D482" s="208" t="s">
        <v>1260</v>
      </c>
      <c r="E482" s="207" t="s">
        <v>46</v>
      </c>
      <c r="F482" s="212">
        <v>1</v>
      </c>
      <c r="G482" s="220">
        <v>44.55</v>
      </c>
      <c r="H482" s="150">
        <f>F482*G482</f>
        <v>44.55</v>
      </c>
    </row>
    <row r="483" spans="1:8" x14ac:dyDescent="0.25">
      <c r="A483" s="152"/>
      <c r="B483" s="140"/>
      <c r="C483" s="140"/>
      <c r="D483" s="140"/>
      <c r="E483" s="137"/>
      <c r="F483" s="203"/>
      <c r="G483" s="140"/>
      <c r="H483" s="182">
        <f>SUM(H480:H482)</f>
        <v>59.489999999999995</v>
      </c>
    </row>
    <row r="484" spans="1:8" x14ac:dyDescent="0.25">
      <c r="A484" s="17"/>
      <c r="B484" s="29"/>
      <c r="C484" s="29"/>
      <c r="D484" s="18"/>
      <c r="E484" s="20"/>
      <c r="F484" s="129"/>
      <c r="G484" s="18"/>
      <c r="H484" s="130"/>
    </row>
    <row r="485" spans="1:8" ht="34.5" x14ac:dyDescent="0.25">
      <c r="A485" s="141" t="s">
        <v>877</v>
      </c>
      <c r="B485" s="141" t="s">
        <v>14</v>
      </c>
      <c r="C485" s="142" t="s">
        <v>13</v>
      </c>
      <c r="D485" s="164" t="s">
        <v>1261</v>
      </c>
      <c r="E485" s="141" t="s">
        <v>46</v>
      </c>
      <c r="F485" s="204" t="s">
        <v>1025</v>
      </c>
      <c r="G485" s="142" t="s">
        <v>1026</v>
      </c>
      <c r="H485" s="146" t="s">
        <v>1027</v>
      </c>
    </row>
    <row r="486" spans="1:8" ht="22.5" x14ac:dyDescent="0.25">
      <c r="A486" s="184" t="s">
        <v>1029</v>
      </c>
      <c r="B486" s="147" t="s">
        <v>25</v>
      </c>
      <c r="C486" s="147">
        <v>88247</v>
      </c>
      <c r="D486" s="206" t="s">
        <v>1181</v>
      </c>
      <c r="E486" s="147" t="s">
        <v>997</v>
      </c>
      <c r="F486" s="201">
        <v>0.4</v>
      </c>
      <c r="G486" s="150">
        <v>16.3</v>
      </c>
      <c r="H486" s="150">
        <f>F486*G486</f>
        <v>6.5200000000000005</v>
      </c>
    </row>
    <row r="487" spans="1:8" ht="22.5" x14ac:dyDescent="0.25">
      <c r="A487" s="147" t="s">
        <v>1029</v>
      </c>
      <c r="B487" s="219" t="s">
        <v>25</v>
      </c>
      <c r="C487" s="211">
        <v>88264</v>
      </c>
      <c r="D487" s="208" t="s">
        <v>1182</v>
      </c>
      <c r="E487" s="207" t="s">
        <v>997</v>
      </c>
      <c r="F487" s="212">
        <v>0.4</v>
      </c>
      <c r="G487" s="150">
        <v>21.05</v>
      </c>
      <c r="H487" s="150">
        <f>F487*G487</f>
        <v>8.42</v>
      </c>
    </row>
    <row r="488" spans="1:8" ht="22.5" x14ac:dyDescent="0.25">
      <c r="A488" s="147" t="s">
        <v>1032</v>
      </c>
      <c r="B488" s="219" t="s">
        <v>1122</v>
      </c>
      <c r="C488" s="211" t="s">
        <v>1262</v>
      </c>
      <c r="D488" s="208" t="s">
        <v>1263</v>
      </c>
      <c r="E488" s="207" t="s">
        <v>46</v>
      </c>
      <c r="F488" s="212">
        <v>1</v>
      </c>
      <c r="G488" s="220">
        <v>39.26</v>
      </c>
      <c r="H488" s="150">
        <f>F488*G488</f>
        <v>39.26</v>
      </c>
    </row>
    <row r="489" spans="1:8" x14ac:dyDescent="0.25">
      <c r="A489" s="152"/>
      <c r="B489" s="140"/>
      <c r="C489" s="140"/>
      <c r="D489" s="140"/>
      <c r="E489" s="137"/>
      <c r="F489" s="203"/>
      <c r="G489" s="140"/>
      <c r="H489" s="182">
        <f>SUM(H486:H488)</f>
        <v>54.2</v>
      </c>
    </row>
    <row r="490" spans="1:8" x14ac:dyDescent="0.25">
      <c r="A490" s="17"/>
      <c r="B490" s="29"/>
      <c r="C490" s="29"/>
      <c r="D490" s="18"/>
      <c r="E490" s="20"/>
      <c r="F490" s="129"/>
      <c r="G490" s="18"/>
      <c r="H490" s="130"/>
    </row>
    <row r="491" spans="1:8" ht="22.5" x14ac:dyDescent="0.25">
      <c r="A491" s="141" t="s">
        <v>880</v>
      </c>
      <c r="B491" s="141" t="s">
        <v>14</v>
      </c>
      <c r="C491" s="142" t="s">
        <v>13</v>
      </c>
      <c r="D491" s="160" t="s">
        <v>1264</v>
      </c>
      <c r="E491" s="141" t="s">
        <v>46</v>
      </c>
      <c r="F491" s="204" t="s">
        <v>1025</v>
      </c>
      <c r="G491" s="142" t="s">
        <v>1026</v>
      </c>
      <c r="H491" s="146" t="s">
        <v>1027</v>
      </c>
    </row>
    <row r="492" spans="1:8" ht="22.5" x14ac:dyDescent="0.25">
      <c r="A492" s="184" t="s">
        <v>1029</v>
      </c>
      <c r="B492" s="147" t="s">
        <v>25</v>
      </c>
      <c r="C492" s="147">
        <v>88247</v>
      </c>
      <c r="D492" s="206" t="s">
        <v>1181</v>
      </c>
      <c r="E492" s="147" t="s">
        <v>997</v>
      </c>
      <c r="F492" s="201">
        <v>0.1</v>
      </c>
      <c r="G492" s="150">
        <v>16.3</v>
      </c>
      <c r="H492" s="150">
        <f>F492*G492</f>
        <v>1.6300000000000001</v>
      </c>
    </row>
    <row r="493" spans="1:8" ht="22.5" x14ac:dyDescent="0.25">
      <c r="A493" s="147" t="s">
        <v>1029</v>
      </c>
      <c r="B493" s="205" t="s">
        <v>25</v>
      </c>
      <c r="C493" s="211">
        <v>88264</v>
      </c>
      <c r="D493" s="208" t="s">
        <v>1182</v>
      </c>
      <c r="E493" s="207" t="s">
        <v>997</v>
      </c>
      <c r="F493" s="212">
        <v>0.1</v>
      </c>
      <c r="G493" s="150">
        <v>21.05</v>
      </c>
      <c r="H493" s="150">
        <f>F493*G493</f>
        <v>2.105</v>
      </c>
    </row>
    <row r="494" spans="1:8" x14ac:dyDescent="0.25">
      <c r="A494" s="147" t="s">
        <v>1032</v>
      </c>
      <c r="B494" s="219" t="s">
        <v>1122</v>
      </c>
      <c r="C494" s="211" t="s">
        <v>1265</v>
      </c>
      <c r="D494" s="208" t="s">
        <v>1266</v>
      </c>
      <c r="E494" s="207" t="s">
        <v>46</v>
      </c>
      <c r="F494" s="212">
        <v>1</v>
      </c>
      <c r="G494" s="220">
        <v>3.9</v>
      </c>
      <c r="H494" s="150">
        <f>F494*G494</f>
        <v>3.9</v>
      </c>
    </row>
    <row r="495" spans="1:8" x14ac:dyDescent="0.25">
      <c r="A495" s="152"/>
      <c r="B495" s="140"/>
      <c r="C495" s="140"/>
      <c r="D495" s="140"/>
      <c r="E495" s="137"/>
      <c r="F495" s="203"/>
      <c r="G495" s="140"/>
      <c r="H495" s="182">
        <f>SUM(H492:H494)</f>
        <v>7.6349999999999998</v>
      </c>
    </row>
    <row r="496" spans="1:8" x14ac:dyDescent="0.25">
      <c r="A496" s="17"/>
      <c r="B496" s="29"/>
      <c r="C496" s="29"/>
      <c r="D496" s="18"/>
      <c r="E496" s="20"/>
      <c r="F496" s="129"/>
      <c r="G496" s="18"/>
      <c r="H496" s="130"/>
    </row>
    <row r="497" spans="1:8" ht="22.5" x14ac:dyDescent="0.25">
      <c r="A497" s="141" t="s">
        <v>883</v>
      </c>
      <c r="B497" s="141" t="s">
        <v>14</v>
      </c>
      <c r="C497" s="142" t="s">
        <v>13</v>
      </c>
      <c r="D497" s="160" t="s">
        <v>1267</v>
      </c>
      <c r="E497" s="141" t="s">
        <v>46</v>
      </c>
      <c r="F497" s="204" t="s">
        <v>1025</v>
      </c>
      <c r="G497" s="142" t="s">
        <v>1026</v>
      </c>
      <c r="H497" s="146" t="s">
        <v>1027</v>
      </c>
    </row>
    <row r="498" spans="1:8" ht="22.5" x14ac:dyDescent="0.25">
      <c r="A498" s="184" t="s">
        <v>1029</v>
      </c>
      <c r="B498" s="147" t="s">
        <v>25</v>
      </c>
      <c r="C498" s="147">
        <v>88247</v>
      </c>
      <c r="D498" s="206" t="s">
        <v>1181</v>
      </c>
      <c r="E498" s="147" t="s">
        <v>997</v>
      </c>
      <c r="F498" s="201">
        <v>0.1</v>
      </c>
      <c r="G498" s="150">
        <v>16.3</v>
      </c>
      <c r="H498" s="150">
        <f>F498*G498</f>
        <v>1.6300000000000001</v>
      </c>
    </row>
    <row r="499" spans="1:8" ht="22.5" x14ac:dyDescent="0.25">
      <c r="A499" s="147" t="s">
        <v>1029</v>
      </c>
      <c r="B499" s="205" t="s">
        <v>25</v>
      </c>
      <c r="C499" s="211">
        <v>88264</v>
      </c>
      <c r="D499" s="208" t="s">
        <v>1182</v>
      </c>
      <c r="E499" s="207" t="s">
        <v>997</v>
      </c>
      <c r="F499" s="212">
        <v>0.1</v>
      </c>
      <c r="G499" s="150">
        <v>21.05</v>
      </c>
      <c r="H499" s="150">
        <f>F499*G499</f>
        <v>2.105</v>
      </c>
    </row>
    <row r="500" spans="1:8" x14ac:dyDescent="0.25">
      <c r="A500" s="147" t="s">
        <v>1032</v>
      </c>
      <c r="B500" s="219" t="s">
        <v>1122</v>
      </c>
      <c r="C500" s="211" t="s">
        <v>1268</v>
      </c>
      <c r="D500" s="208" t="s">
        <v>1269</v>
      </c>
      <c r="E500" s="207" t="s">
        <v>46</v>
      </c>
      <c r="F500" s="212">
        <v>1</v>
      </c>
      <c r="G500" s="220">
        <v>1.9</v>
      </c>
      <c r="H500" s="150">
        <f>F500*G500</f>
        <v>1.9</v>
      </c>
    </row>
    <row r="501" spans="1:8" x14ac:dyDescent="0.25">
      <c r="A501" s="152"/>
      <c r="B501" s="140"/>
      <c r="C501" s="140"/>
      <c r="D501" s="140"/>
      <c r="E501" s="137"/>
      <c r="F501" s="203"/>
      <c r="G501" s="140"/>
      <c r="H501" s="182">
        <f>SUM(H498:H500)</f>
        <v>5.6349999999999998</v>
      </c>
    </row>
    <row r="502" spans="1:8" x14ac:dyDescent="0.25">
      <c r="A502" s="17"/>
      <c r="B502" s="29"/>
      <c r="C502" s="29"/>
      <c r="D502" s="18"/>
      <c r="E502" s="20"/>
      <c r="F502" s="129"/>
      <c r="G502" s="18"/>
      <c r="H502" s="130"/>
    </row>
    <row r="503" spans="1:8" x14ac:dyDescent="0.25">
      <c r="A503" s="17"/>
      <c r="B503" s="29"/>
      <c r="C503" s="29"/>
      <c r="D503" s="18"/>
      <c r="E503" s="20"/>
      <c r="F503" s="129"/>
      <c r="G503" s="18"/>
      <c r="H503" s="130"/>
    </row>
    <row r="504" spans="1:8" ht="33.75" x14ac:dyDescent="0.25">
      <c r="A504" s="141" t="s">
        <v>886</v>
      </c>
      <c r="B504" s="141" t="s">
        <v>14</v>
      </c>
      <c r="C504" s="142" t="s">
        <v>13</v>
      </c>
      <c r="D504" s="160" t="s">
        <v>1270</v>
      </c>
      <c r="E504" s="141" t="s">
        <v>46</v>
      </c>
      <c r="F504" s="204" t="s">
        <v>1025</v>
      </c>
      <c r="G504" s="142" t="s">
        <v>1026</v>
      </c>
      <c r="H504" s="146" t="s">
        <v>1027</v>
      </c>
    </row>
    <row r="505" spans="1:8" ht="22.5" x14ac:dyDescent="0.25">
      <c r="A505" s="184" t="s">
        <v>1029</v>
      </c>
      <c r="B505" s="147" t="s">
        <v>25</v>
      </c>
      <c r="C505" s="147">
        <v>88247</v>
      </c>
      <c r="D505" s="206" t="s">
        <v>1181</v>
      </c>
      <c r="E505" s="147" t="s">
        <v>997</v>
      </c>
      <c r="F505" s="201">
        <v>0.02</v>
      </c>
      <c r="G505" s="150">
        <v>16.3</v>
      </c>
      <c r="H505" s="150">
        <f>F505*G505</f>
        <v>0.32600000000000001</v>
      </c>
    </row>
    <row r="506" spans="1:8" ht="22.5" x14ac:dyDescent="0.25">
      <c r="A506" s="147" t="s">
        <v>1029</v>
      </c>
      <c r="B506" s="205" t="s">
        <v>25</v>
      </c>
      <c r="C506" s="211">
        <v>88264</v>
      </c>
      <c r="D506" s="208" t="s">
        <v>1182</v>
      </c>
      <c r="E506" s="207" t="s">
        <v>997</v>
      </c>
      <c r="F506" s="212">
        <v>0.02</v>
      </c>
      <c r="G506" s="150">
        <v>21.05</v>
      </c>
      <c r="H506" s="150">
        <f>F506*G506</f>
        <v>0.42100000000000004</v>
      </c>
    </row>
    <row r="507" spans="1:8" ht="45" x14ac:dyDescent="0.25">
      <c r="A507" s="147" t="s">
        <v>1032</v>
      </c>
      <c r="B507" s="205" t="s">
        <v>25</v>
      </c>
      <c r="C507" s="211">
        <v>13348</v>
      </c>
      <c r="D507" s="208" t="s">
        <v>1271</v>
      </c>
      <c r="E507" s="207" t="s">
        <v>46</v>
      </c>
      <c r="F507" s="212">
        <v>2</v>
      </c>
      <c r="G507" s="150">
        <v>0.53</v>
      </c>
      <c r="H507" s="150">
        <f>F507*G507</f>
        <v>1.06</v>
      </c>
    </row>
    <row r="508" spans="1:8" ht="22.5" x14ac:dyDescent="0.25">
      <c r="A508" s="147" t="s">
        <v>1032</v>
      </c>
      <c r="B508" s="219" t="s">
        <v>1122</v>
      </c>
      <c r="C508" s="211" t="s">
        <v>1272</v>
      </c>
      <c r="D508" s="208" t="s">
        <v>1273</v>
      </c>
      <c r="E508" s="207" t="s">
        <v>46</v>
      </c>
      <c r="F508" s="212">
        <v>1</v>
      </c>
      <c r="G508" s="150">
        <v>0.1</v>
      </c>
      <c r="H508" s="150">
        <f>F508*G508</f>
        <v>0.1</v>
      </c>
    </row>
    <row r="509" spans="1:8" ht="22.5" x14ac:dyDescent="0.25">
      <c r="A509" s="147" t="s">
        <v>1032</v>
      </c>
      <c r="B509" s="205" t="s">
        <v>25</v>
      </c>
      <c r="C509" s="211">
        <v>39997</v>
      </c>
      <c r="D509" s="208" t="s">
        <v>1274</v>
      </c>
      <c r="E509" s="207" t="s">
        <v>46</v>
      </c>
      <c r="F509" s="212">
        <v>1</v>
      </c>
      <c r="G509" s="150">
        <v>0.18</v>
      </c>
      <c r="H509" s="150">
        <f>F509*G509</f>
        <v>0.18</v>
      </c>
    </row>
    <row r="510" spans="1:8" x14ac:dyDescent="0.25">
      <c r="A510" s="152"/>
      <c r="B510" s="140"/>
      <c r="C510" s="140"/>
      <c r="D510" s="140"/>
      <c r="E510" s="137"/>
      <c r="F510" s="203"/>
      <c r="G510" s="140"/>
      <c r="H510" s="182">
        <f>SUM(H505:H509)</f>
        <v>2.0870000000000002</v>
      </c>
    </row>
    <row r="511" spans="1:8" x14ac:dyDescent="0.25">
      <c r="A511" s="131"/>
      <c r="B511" s="132"/>
      <c r="C511" s="132"/>
      <c r="D511" s="133"/>
      <c r="E511" s="134"/>
      <c r="F511" s="135"/>
      <c r="G511" s="133"/>
      <c r="H511" s="136"/>
    </row>
    <row r="512" spans="1:8" ht="33.75" x14ac:dyDescent="0.25">
      <c r="A512" s="141" t="s">
        <v>889</v>
      </c>
      <c r="B512" s="141" t="s">
        <v>14</v>
      </c>
      <c r="C512" s="142" t="s">
        <v>13</v>
      </c>
      <c r="D512" s="160" t="s">
        <v>890</v>
      </c>
      <c r="E512" s="141" t="s">
        <v>46</v>
      </c>
      <c r="F512" s="204" t="s">
        <v>1025</v>
      </c>
      <c r="G512" s="142" t="s">
        <v>1026</v>
      </c>
      <c r="H512" s="146" t="s">
        <v>1027</v>
      </c>
    </row>
    <row r="513" spans="1:8" ht="22.5" x14ac:dyDescent="0.25">
      <c r="A513" s="184" t="s">
        <v>1029</v>
      </c>
      <c r="B513" s="147" t="s">
        <v>25</v>
      </c>
      <c r="C513" s="147">
        <v>88247</v>
      </c>
      <c r="D513" s="206" t="s">
        <v>1181</v>
      </c>
      <c r="E513" s="147" t="s">
        <v>997</v>
      </c>
      <c r="F513" s="201">
        <v>0.14000000000000001</v>
      </c>
      <c r="G513" s="150">
        <v>16.3</v>
      </c>
      <c r="H513" s="150">
        <f>F513*G513</f>
        <v>2.2820000000000005</v>
      </c>
    </row>
    <row r="514" spans="1:8" ht="22.5" x14ac:dyDescent="0.25">
      <c r="A514" s="147" t="s">
        <v>1029</v>
      </c>
      <c r="B514" s="205" t="s">
        <v>25</v>
      </c>
      <c r="C514" s="211">
        <v>88264</v>
      </c>
      <c r="D514" s="208" t="s">
        <v>1182</v>
      </c>
      <c r="E514" s="207" t="s">
        <v>997</v>
      </c>
      <c r="F514" s="212">
        <v>0.14000000000000001</v>
      </c>
      <c r="G514" s="150">
        <v>21.05</v>
      </c>
      <c r="H514" s="150">
        <f>F514*G514</f>
        <v>2.9470000000000005</v>
      </c>
    </row>
    <row r="515" spans="1:8" ht="22.5" x14ac:dyDescent="0.25">
      <c r="A515" s="147" t="s">
        <v>1032</v>
      </c>
      <c r="B515" s="205" t="s">
        <v>25</v>
      </c>
      <c r="C515" s="211">
        <v>11976</v>
      </c>
      <c r="D515" s="208" t="s">
        <v>1275</v>
      </c>
      <c r="E515" s="207" t="s">
        <v>46</v>
      </c>
      <c r="F515" s="212">
        <v>1</v>
      </c>
      <c r="G515" s="220">
        <v>0.72</v>
      </c>
      <c r="H515" s="150">
        <f>F515*G515</f>
        <v>0.72</v>
      </c>
    </row>
    <row r="516" spans="1:8" x14ac:dyDescent="0.25">
      <c r="A516" s="152"/>
      <c r="B516" s="140"/>
      <c r="C516" s="140"/>
      <c r="D516" s="140"/>
      <c r="E516" s="137"/>
      <c r="F516" s="203"/>
      <c r="G516" s="140"/>
      <c r="H516" s="182">
        <f>SUM(H513:H515)</f>
        <v>5.9490000000000007</v>
      </c>
    </row>
    <row r="517" spans="1:8" x14ac:dyDescent="0.25">
      <c r="A517" s="131"/>
      <c r="B517" s="132"/>
      <c r="C517" s="132"/>
      <c r="D517" s="133"/>
      <c r="E517" s="134"/>
      <c r="F517" s="135"/>
      <c r="G517" s="133"/>
      <c r="H517" s="136"/>
    </row>
    <row r="518" spans="1:8" ht="45" x14ac:dyDescent="0.25">
      <c r="A518" s="141" t="s">
        <v>842</v>
      </c>
      <c r="B518" s="141" t="s">
        <v>14</v>
      </c>
      <c r="C518" s="142" t="s">
        <v>13</v>
      </c>
      <c r="D518" s="160" t="s">
        <v>843</v>
      </c>
      <c r="E518" s="141" t="s">
        <v>46</v>
      </c>
      <c r="F518" s="204" t="s">
        <v>1025</v>
      </c>
      <c r="G518" s="142" t="s">
        <v>1026</v>
      </c>
      <c r="H518" s="146" t="s">
        <v>1027</v>
      </c>
    </row>
    <row r="519" spans="1:8" ht="22.5" x14ac:dyDescent="0.25">
      <c r="A519" s="184" t="s">
        <v>1029</v>
      </c>
      <c r="B519" s="147" t="s">
        <v>25</v>
      </c>
      <c r="C519" s="147">
        <v>88247</v>
      </c>
      <c r="D519" s="206" t="s">
        <v>1181</v>
      </c>
      <c r="E519" s="147" t="s">
        <v>997</v>
      </c>
      <c r="F519" s="201">
        <v>1</v>
      </c>
      <c r="G519" s="150">
        <v>16.3</v>
      </c>
      <c r="H519" s="150">
        <f>F519*G519</f>
        <v>16.3</v>
      </c>
    </row>
    <row r="520" spans="1:8" ht="22.5" x14ac:dyDescent="0.25">
      <c r="A520" s="147" t="s">
        <v>1029</v>
      </c>
      <c r="B520" s="205" t="s">
        <v>25</v>
      </c>
      <c r="C520" s="211">
        <v>88264</v>
      </c>
      <c r="D520" s="208" t="s">
        <v>1182</v>
      </c>
      <c r="E520" s="207" t="s">
        <v>997</v>
      </c>
      <c r="F520" s="212">
        <v>1</v>
      </c>
      <c r="G520" s="150">
        <v>21.05</v>
      </c>
      <c r="H520" s="150">
        <f>F520*G520</f>
        <v>21.05</v>
      </c>
    </row>
    <row r="521" spans="1:8" ht="33.75" x14ac:dyDescent="0.25">
      <c r="A521" s="147" t="s">
        <v>1032</v>
      </c>
      <c r="B521" s="214" t="s">
        <v>25</v>
      </c>
      <c r="C521" s="211">
        <v>4332</v>
      </c>
      <c r="D521" s="208" t="s">
        <v>1224</v>
      </c>
      <c r="E521" s="207" t="s">
        <v>46</v>
      </c>
      <c r="F521" s="212">
        <v>2</v>
      </c>
      <c r="G521" s="150">
        <v>0.65</v>
      </c>
      <c r="H521" s="150">
        <f>F521*G521</f>
        <v>1.3</v>
      </c>
    </row>
    <row r="522" spans="1:8" ht="33.75" x14ac:dyDescent="0.25">
      <c r="A522" s="147" t="s">
        <v>1032</v>
      </c>
      <c r="B522" s="214" t="s">
        <v>25</v>
      </c>
      <c r="C522" s="221">
        <v>39390</v>
      </c>
      <c r="D522" s="208" t="s">
        <v>1276</v>
      </c>
      <c r="E522" s="207" t="s">
        <v>46</v>
      </c>
      <c r="F522" s="212">
        <v>1</v>
      </c>
      <c r="G522" s="150">
        <v>113.55</v>
      </c>
      <c r="H522" s="150">
        <f>F522*G522</f>
        <v>113.55</v>
      </c>
    </row>
    <row r="523" spans="1:8" x14ac:dyDescent="0.25">
      <c r="A523" s="152"/>
      <c r="B523" s="140"/>
      <c r="C523" s="140"/>
      <c r="D523" s="140"/>
      <c r="E523" s="137"/>
      <c r="F523" s="203"/>
      <c r="G523" s="140"/>
      <c r="H523" s="182">
        <f>SUM(H519:H522)</f>
        <v>152.19999999999999</v>
      </c>
    </row>
    <row r="524" spans="1:8" x14ac:dyDescent="0.25">
      <c r="A524" s="17"/>
      <c r="B524" s="29"/>
      <c r="C524" s="29"/>
      <c r="D524" s="18"/>
      <c r="E524" s="20"/>
      <c r="F524" s="129"/>
      <c r="G524" s="18"/>
      <c r="H524" s="130"/>
    </row>
    <row r="525" spans="1:8" ht="78.75" x14ac:dyDescent="0.25">
      <c r="A525" s="141" t="s">
        <v>769</v>
      </c>
      <c r="B525" s="141" t="s">
        <v>14</v>
      </c>
      <c r="C525" s="142" t="s">
        <v>13</v>
      </c>
      <c r="D525" s="160" t="s">
        <v>770</v>
      </c>
      <c r="E525" s="141" t="s">
        <v>46</v>
      </c>
      <c r="F525" s="204" t="s">
        <v>1025</v>
      </c>
      <c r="G525" s="142" t="s">
        <v>1026</v>
      </c>
      <c r="H525" s="146" t="s">
        <v>1027</v>
      </c>
    </row>
    <row r="526" spans="1:8" ht="22.5" x14ac:dyDescent="0.25">
      <c r="A526" s="184" t="s">
        <v>1029</v>
      </c>
      <c r="B526" s="147" t="s">
        <v>25</v>
      </c>
      <c r="C526" s="147">
        <v>88247</v>
      </c>
      <c r="D526" s="206" t="s">
        <v>1181</v>
      </c>
      <c r="E526" s="147" t="s">
        <v>997</v>
      </c>
      <c r="F526" s="201">
        <v>0.5</v>
      </c>
      <c r="G526" s="150">
        <v>16.3</v>
      </c>
      <c r="H526" s="150">
        <f>F526*G526</f>
        <v>8.15</v>
      </c>
    </row>
    <row r="527" spans="1:8" ht="22.5" x14ac:dyDescent="0.25">
      <c r="A527" s="147" t="s">
        <v>1029</v>
      </c>
      <c r="B527" s="205" t="s">
        <v>25</v>
      </c>
      <c r="C527" s="211">
        <v>88264</v>
      </c>
      <c r="D527" s="208" t="s">
        <v>1182</v>
      </c>
      <c r="E527" s="207" t="s">
        <v>997</v>
      </c>
      <c r="F527" s="212">
        <v>0.5</v>
      </c>
      <c r="G527" s="150">
        <v>21.05</v>
      </c>
      <c r="H527" s="150">
        <f>F527*G527</f>
        <v>10.525</v>
      </c>
    </row>
    <row r="528" spans="1:8" ht="67.5" x14ac:dyDescent="0.25">
      <c r="A528" s="147" t="s">
        <v>1032</v>
      </c>
      <c r="B528" s="205" t="s">
        <v>25</v>
      </c>
      <c r="C528" s="211">
        <v>39247</v>
      </c>
      <c r="D528" s="208" t="s">
        <v>1277</v>
      </c>
      <c r="E528" s="207" t="s">
        <v>46</v>
      </c>
      <c r="F528" s="212">
        <v>1</v>
      </c>
      <c r="G528" s="220">
        <v>2.12</v>
      </c>
      <c r="H528" s="150">
        <f>F528*G528</f>
        <v>2.12</v>
      </c>
    </row>
    <row r="529" spans="1:8" x14ac:dyDescent="0.25">
      <c r="A529" s="152"/>
      <c r="B529" s="140"/>
      <c r="C529" s="140"/>
      <c r="D529" s="140"/>
      <c r="E529" s="137"/>
      <c r="F529" s="203"/>
      <c r="G529" s="140"/>
      <c r="H529" s="182">
        <f>SUM(H526:H528)</f>
        <v>20.795000000000002</v>
      </c>
    </row>
    <row r="530" spans="1:8" x14ac:dyDescent="0.25">
      <c r="A530" s="17"/>
      <c r="B530" s="29"/>
      <c r="C530" s="29"/>
      <c r="D530" s="18"/>
      <c r="E530" s="20"/>
      <c r="F530" s="129"/>
      <c r="G530" s="18"/>
      <c r="H530" s="130"/>
    </row>
    <row r="531" spans="1:8" ht="33.75" x14ac:dyDescent="0.25">
      <c r="A531" s="141" t="s">
        <v>902</v>
      </c>
      <c r="B531" s="141" t="s">
        <v>14</v>
      </c>
      <c r="C531" s="142" t="s">
        <v>13</v>
      </c>
      <c r="D531" s="160" t="s">
        <v>903</v>
      </c>
      <c r="E531" s="141" t="s">
        <v>46</v>
      </c>
      <c r="F531" s="204" t="s">
        <v>1025</v>
      </c>
      <c r="G531" s="142" t="s">
        <v>1026</v>
      </c>
      <c r="H531" s="146" t="s">
        <v>1027</v>
      </c>
    </row>
    <row r="532" spans="1:8" ht="22.5" x14ac:dyDescent="0.25">
      <c r="A532" s="184" t="s">
        <v>1029</v>
      </c>
      <c r="B532" s="147" t="s">
        <v>25</v>
      </c>
      <c r="C532" s="147">
        <v>88316</v>
      </c>
      <c r="D532" s="206" t="s">
        <v>1031</v>
      </c>
      <c r="E532" s="147" t="s">
        <v>997</v>
      </c>
      <c r="F532" s="201">
        <v>6</v>
      </c>
      <c r="G532" s="150">
        <v>16.43</v>
      </c>
      <c r="H532" s="150">
        <f>F532*G532</f>
        <v>98.58</v>
      </c>
    </row>
    <row r="533" spans="1:8" ht="78.75" x14ac:dyDescent="0.25">
      <c r="A533" s="147" t="s">
        <v>1029</v>
      </c>
      <c r="B533" s="205" t="s">
        <v>25</v>
      </c>
      <c r="C533" s="211">
        <v>91634</v>
      </c>
      <c r="D533" s="208" t="s">
        <v>1278</v>
      </c>
      <c r="E533" s="207" t="s">
        <v>1083</v>
      </c>
      <c r="F533" s="212">
        <v>1.375</v>
      </c>
      <c r="G533" s="150">
        <v>128.52000000000001</v>
      </c>
      <c r="H533" s="150">
        <f>F533*G533</f>
        <v>176.715</v>
      </c>
    </row>
    <row r="534" spans="1:8" ht="45" x14ac:dyDescent="0.25">
      <c r="A534" s="147" t="s">
        <v>1029</v>
      </c>
      <c r="B534" s="205" t="s">
        <v>25</v>
      </c>
      <c r="C534" s="211">
        <v>92873</v>
      </c>
      <c r="D534" s="208" t="s">
        <v>1279</v>
      </c>
      <c r="E534" s="207" t="s">
        <v>46</v>
      </c>
      <c r="F534" s="212">
        <v>0.17499999999999999</v>
      </c>
      <c r="G534" s="150">
        <v>166.95</v>
      </c>
      <c r="H534" s="150">
        <f>F534*G534</f>
        <v>29.216249999999995</v>
      </c>
    </row>
    <row r="535" spans="1:8" ht="45" x14ac:dyDescent="0.25">
      <c r="A535" s="147" t="s">
        <v>1029</v>
      </c>
      <c r="B535" s="205" t="s">
        <v>25</v>
      </c>
      <c r="C535" s="222" t="s">
        <v>1280</v>
      </c>
      <c r="D535" s="208" t="s">
        <v>1281</v>
      </c>
      <c r="E535" s="207" t="s">
        <v>46</v>
      </c>
      <c r="F535" s="212">
        <v>0.17499999999999999</v>
      </c>
      <c r="G535" s="150">
        <v>296.23</v>
      </c>
      <c r="H535" s="150">
        <f>F535*G535</f>
        <v>51.840249999999997</v>
      </c>
    </row>
    <row r="536" spans="1:8" ht="22.5" x14ac:dyDescent="0.25">
      <c r="A536" s="147" t="s">
        <v>1032</v>
      </c>
      <c r="B536" s="179" t="s">
        <v>1122</v>
      </c>
      <c r="C536" s="222" t="s">
        <v>1282</v>
      </c>
      <c r="D536" s="208" t="s">
        <v>1283</v>
      </c>
      <c r="E536" s="207" t="s">
        <v>46</v>
      </c>
      <c r="F536" s="212">
        <v>1</v>
      </c>
      <c r="G536" s="150">
        <v>844.8</v>
      </c>
      <c r="H536" s="150">
        <f>F536*G536</f>
        <v>844.8</v>
      </c>
    </row>
    <row r="537" spans="1:8" x14ac:dyDescent="0.25">
      <c r="A537" s="152"/>
      <c r="B537" s="140"/>
      <c r="C537" s="140"/>
      <c r="D537" s="140"/>
      <c r="E537" s="137"/>
      <c r="F537" s="203"/>
      <c r="G537" s="140"/>
      <c r="H537" s="182">
        <f>SUM(H532:H536)</f>
        <v>1201.1514999999999</v>
      </c>
    </row>
    <row r="538" spans="1:8" x14ac:dyDescent="0.25">
      <c r="A538" s="17"/>
      <c r="B538" s="29"/>
      <c r="C538" s="29"/>
      <c r="D538" s="18"/>
      <c r="E538" s="20"/>
      <c r="F538" s="129"/>
      <c r="G538" s="18"/>
      <c r="H538" s="130"/>
    </row>
    <row r="539" spans="1:8" ht="22.5" x14ac:dyDescent="0.25">
      <c r="A539" s="141" t="s">
        <v>909</v>
      </c>
      <c r="B539" s="141" t="s">
        <v>14</v>
      </c>
      <c r="C539" s="142" t="s">
        <v>13</v>
      </c>
      <c r="D539" s="160" t="s">
        <v>910</v>
      </c>
      <c r="E539" s="141" t="s">
        <v>46</v>
      </c>
      <c r="F539" s="204" t="s">
        <v>1025</v>
      </c>
      <c r="G539" s="142" t="s">
        <v>1026</v>
      </c>
      <c r="H539" s="146" t="s">
        <v>1027</v>
      </c>
    </row>
    <row r="540" spans="1:8" ht="22.5" x14ac:dyDescent="0.25">
      <c r="A540" s="184" t="s">
        <v>1029</v>
      </c>
      <c r="B540" s="147" t="s">
        <v>25</v>
      </c>
      <c r="C540" s="147">
        <v>88247</v>
      </c>
      <c r="D540" s="206" t="s">
        <v>1181</v>
      </c>
      <c r="E540" s="147" t="s">
        <v>997</v>
      </c>
      <c r="F540" s="201">
        <v>1</v>
      </c>
      <c r="G540" s="150">
        <v>16.3</v>
      </c>
      <c r="H540" s="150">
        <f>F540*G540</f>
        <v>16.3</v>
      </c>
    </row>
    <row r="541" spans="1:8" ht="22.5" x14ac:dyDescent="0.25">
      <c r="A541" s="147" t="s">
        <v>1029</v>
      </c>
      <c r="B541" s="205" t="s">
        <v>25</v>
      </c>
      <c r="C541" s="211">
        <v>88264</v>
      </c>
      <c r="D541" s="208" t="s">
        <v>1182</v>
      </c>
      <c r="E541" s="207" t="s">
        <v>997</v>
      </c>
      <c r="F541" s="212">
        <v>1</v>
      </c>
      <c r="G541" s="150">
        <v>21.05</v>
      </c>
      <c r="H541" s="150">
        <f>F541*G541</f>
        <v>21.05</v>
      </c>
    </row>
    <row r="542" spans="1:8" ht="33.75" x14ac:dyDescent="0.25">
      <c r="A542" s="147" t="s">
        <v>1032</v>
      </c>
      <c r="B542" s="214" t="s">
        <v>25</v>
      </c>
      <c r="C542" s="211">
        <v>4332</v>
      </c>
      <c r="D542" s="208" t="s">
        <v>1224</v>
      </c>
      <c r="E542" s="207" t="s">
        <v>46</v>
      </c>
      <c r="F542" s="212">
        <v>2</v>
      </c>
      <c r="G542" s="150">
        <v>0.65</v>
      </c>
      <c r="H542" s="150">
        <f>F542*G542</f>
        <v>1.3</v>
      </c>
    </row>
    <row r="543" spans="1:8" ht="22.5" x14ac:dyDescent="0.25">
      <c r="A543" s="147" t="s">
        <v>1032</v>
      </c>
      <c r="B543" s="214" t="s">
        <v>1220</v>
      </c>
      <c r="C543" s="214" t="s">
        <v>1284</v>
      </c>
      <c r="D543" s="208" t="s">
        <v>1285</v>
      </c>
      <c r="E543" s="207" t="s">
        <v>46</v>
      </c>
      <c r="F543" s="212">
        <v>1</v>
      </c>
      <c r="G543" s="150">
        <f>Cotações!E27</f>
        <v>219.78</v>
      </c>
      <c r="H543" s="150">
        <f>F543*G543</f>
        <v>219.78</v>
      </c>
    </row>
    <row r="544" spans="1:8" x14ac:dyDescent="0.25">
      <c r="A544" s="152"/>
      <c r="B544" s="140"/>
      <c r="C544" s="140"/>
      <c r="D544" s="140"/>
      <c r="E544" s="137"/>
      <c r="F544" s="203"/>
      <c r="G544" s="140"/>
      <c r="H544" s="182">
        <f>SUM(H540:H543)</f>
        <v>258.43</v>
      </c>
    </row>
    <row r="545" spans="1:8" x14ac:dyDescent="0.25">
      <c r="A545" s="17"/>
      <c r="B545" s="29"/>
      <c r="C545" s="29"/>
      <c r="D545" s="18"/>
      <c r="E545" s="20"/>
      <c r="F545" s="129"/>
      <c r="G545" s="18"/>
      <c r="H545" s="130"/>
    </row>
    <row r="546" spans="1:8" ht="33.75" x14ac:dyDescent="0.25">
      <c r="A546" s="141" t="s">
        <v>913</v>
      </c>
      <c r="B546" s="141" t="s">
        <v>14</v>
      </c>
      <c r="C546" s="142" t="s">
        <v>13</v>
      </c>
      <c r="D546" s="160" t="s">
        <v>914</v>
      </c>
      <c r="E546" s="141" t="s">
        <v>46</v>
      </c>
      <c r="F546" s="204" t="s">
        <v>1025</v>
      </c>
      <c r="G546" s="142" t="s">
        <v>1026</v>
      </c>
      <c r="H546" s="146" t="s">
        <v>1027</v>
      </c>
    </row>
    <row r="547" spans="1:8" ht="22.5" x14ac:dyDescent="0.25">
      <c r="A547" s="184" t="s">
        <v>1029</v>
      </c>
      <c r="B547" s="147" t="s">
        <v>25</v>
      </c>
      <c r="C547" s="147">
        <v>88247</v>
      </c>
      <c r="D547" s="206" t="s">
        <v>1181</v>
      </c>
      <c r="E547" s="147" t="s">
        <v>997</v>
      </c>
      <c r="F547" s="201">
        <v>2.5</v>
      </c>
      <c r="G547" s="150">
        <v>16.3</v>
      </c>
      <c r="H547" s="150">
        <f>F547*G547</f>
        <v>40.75</v>
      </c>
    </row>
    <row r="548" spans="1:8" ht="22.5" x14ac:dyDescent="0.25">
      <c r="A548" s="147" t="s">
        <v>1029</v>
      </c>
      <c r="B548" s="205" t="s">
        <v>25</v>
      </c>
      <c r="C548" s="211">
        <v>88264</v>
      </c>
      <c r="D548" s="208" t="s">
        <v>1182</v>
      </c>
      <c r="E548" s="207" t="s">
        <v>997</v>
      </c>
      <c r="F548" s="212">
        <v>2.5</v>
      </c>
      <c r="G548" s="150">
        <v>21.05</v>
      </c>
      <c r="H548" s="150">
        <f>F548*G548</f>
        <v>52.625</v>
      </c>
    </row>
    <row r="549" spans="1:8" ht="22.5" x14ac:dyDescent="0.25">
      <c r="A549" s="147" t="s">
        <v>1032</v>
      </c>
      <c r="B549" s="205" t="s">
        <v>25</v>
      </c>
      <c r="C549" s="211">
        <v>34519</v>
      </c>
      <c r="D549" s="208" t="s">
        <v>1286</v>
      </c>
      <c r="E549" s="207" t="s">
        <v>46</v>
      </c>
      <c r="F549" s="212">
        <v>1</v>
      </c>
      <c r="G549" s="220">
        <v>71.819999999999993</v>
      </c>
      <c r="H549" s="150">
        <f>F549*G549</f>
        <v>71.819999999999993</v>
      </c>
    </row>
    <row r="550" spans="1:8" ht="45" x14ac:dyDescent="0.25">
      <c r="A550" s="147" t="s">
        <v>1032</v>
      </c>
      <c r="B550" s="205" t="s">
        <v>25</v>
      </c>
      <c r="C550" s="211">
        <v>430</v>
      </c>
      <c r="D550" s="208" t="s">
        <v>1287</v>
      </c>
      <c r="E550" s="207" t="s">
        <v>46</v>
      </c>
      <c r="F550" s="212">
        <v>1</v>
      </c>
      <c r="G550" s="220">
        <v>3.51</v>
      </c>
      <c r="H550" s="150">
        <f>F550*G550</f>
        <v>3.51</v>
      </c>
    </row>
    <row r="551" spans="1:8" x14ac:dyDescent="0.25">
      <c r="A551" s="17"/>
      <c r="B551" s="29"/>
      <c r="C551" s="29"/>
      <c r="D551" s="18"/>
      <c r="E551" s="20"/>
      <c r="F551" s="129"/>
      <c r="G551" s="18"/>
      <c r="H551" s="182">
        <f>SUM(H547:H550)</f>
        <v>168.70499999999998</v>
      </c>
    </row>
    <row r="552" spans="1:8" x14ac:dyDescent="0.25">
      <c r="A552" s="17"/>
      <c r="B552" s="29"/>
      <c r="C552" s="29"/>
      <c r="D552" s="18"/>
      <c r="E552" s="20"/>
      <c r="F552" s="129"/>
      <c r="G552" s="18"/>
      <c r="H552" s="130"/>
    </row>
    <row r="553" spans="1:8" ht="78.75" x14ac:dyDescent="0.25">
      <c r="A553" s="141" t="s">
        <v>923</v>
      </c>
      <c r="B553" s="141" t="s">
        <v>14</v>
      </c>
      <c r="C553" s="142" t="s">
        <v>13</v>
      </c>
      <c r="D553" s="160" t="s">
        <v>924</v>
      </c>
      <c r="E553" s="141" t="s">
        <v>46</v>
      </c>
      <c r="F553" s="204" t="s">
        <v>1025</v>
      </c>
      <c r="G553" s="142" t="s">
        <v>1026</v>
      </c>
      <c r="H553" s="146" t="s">
        <v>1027</v>
      </c>
    </row>
    <row r="554" spans="1:8" ht="22.5" x14ac:dyDescent="0.25">
      <c r="A554" s="184" t="s">
        <v>1029</v>
      </c>
      <c r="B554" s="147" t="s">
        <v>25</v>
      </c>
      <c r="C554" s="147">
        <v>88247</v>
      </c>
      <c r="D554" s="206" t="s">
        <v>1181</v>
      </c>
      <c r="E554" s="147" t="s">
        <v>997</v>
      </c>
      <c r="F554" s="201">
        <v>0.5</v>
      </c>
      <c r="G554" s="150">
        <v>16.3</v>
      </c>
      <c r="H554" s="150">
        <f>F554*G554</f>
        <v>8.15</v>
      </c>
    </row>
    <row r="555" spans="1:8" ht="22.5" x14ac:dyDescent="0.25">
      <c r="A555" s="147" t="s">
        <v>1029</v>
      </c>
      <c r="B555" s="205" t="s">
        <v>25</v>
      </c>
      <c r="C555" s="211">
        <v>88264</v>
      </c>
      <c r="D555" s="208" t="s">
        <v>1182</v>
      </c>
      <c r="E555" s="207" t="s">
        <v>997</v>
      </c>
      <c r="F555" s="212">
        <v>0.5</v>
      </c>
      <c r="G555" s="150">
        <v>21.05</v>
      </c>
      <c r="H555" s="150">
        <f>F555*G555</f>
        <v>10.525</v>
      </c>
    </row>
    <row r="556" spans="1:8" ht="67.5" x14ac:dyDescent="0.25">
      <c r="A556" s="147" t="s">
        <v>1032</v>
      </c>
      <c r="B556" s="205" t="s">
        <v>25</v>
      </c>
      <c r="C556" s="211">
        <v>39246</v>
      </c>
      <c r="D556" s="208" t="s">
        <v>1288</v>
      </c>
      <c r="E556" s="207" t="s">
        <v>46</v>
      </c>
      <c r="F556" s="212">
        <v>1</v>
      </c>
      <c r="G556" s="220">
        <v>2.4300000000000002</v>
      </c>
      <c r="H556" s="150">
        <f>F556*G556</f>
        <v>2.4300000000000002</v>
      </c>
    </row>
    <row r="557" spans="1:8" x14ac:dyDescent="0.25">
      <c r="A557" s="152"/>
      <c r="B557" s="140"/>
      <c r="C557" s="140"/>
      <c r="D557" s="140"/>
      <c r="E557" s="137"/>
      <c r="F557" s="203"/>
      <c r="G557" s="140"/>
      <c r="H557" s="182">
        <f>SUM(H554:H556)</f>
        <v>21.105</v>
      </c>
    </row>
    <row r="558" spans="1:8" x14ac:dyDescent="0.25">
      <c r="A558" s="17"/>
      <c r="B558" s="29"/>
      <c r="C558" s="29"/>
      <c r="D558" s="18"/>
      <c r="E558" s="20"/>
      <c r="F558" s="129"/>
      <c r="G558" s="18"/>
      <c r="H558" s="130"/>
    </row>
    <row r="559" spans="1:8" ht="22.5" x14ac:dyDescent="0.25">
      <c r="A559" s="141" t="s">
        <v>50</v>
      </c>
      <c r="B559" s="141" t="s">
        <v>14</v>
      </c>
      <c r="C559" s="142" t="s">
        <v>13</v>
      </c>
      <c r="D559" s="160" t="s">
        <v>51</v>
      </c>
      <c r="E559" s="141" t="s">
        <v>46</v>
      </c>
      <c r="F559" s="204" t="s">
        <v>1025</v>
      </c>
      <c r="G559" s="142" t="s">
        <v>1026</v>
      </c>
      <c r="H559" s="146" t="s">
        <v>1027</v>
      </c>
    </row>
    <row r="560" spans="1:8" ht="22.5" x14ac:dyDescent="0.25">
      <c r="A560" s="184" t="s">
        <v>1029</v>
      </c>
      <c r="B560" s="147" t="s">
        <v>25</v>
      </c>
      <c r="C560" s="147">
        <v>88316</v>
      </c>
      <c r="D560" s="206" t="s">
        <v>1031</v>
      </c>
      <c r="E560" s="147" t="s">
        <v>997</v>
      </c>
      <c r="F560" s="201">
        <v>0.5</v>
      </c>
      <c r="G560" s="150">
        <v>16.43</v>
      </c>
      <c r="H560" s="150">
        <f>F560*G560</f>
        <v>8.2149999999999999</v>
      </c>
    </row>
    <row r="561" spans="1:8" ht="22.5" x14ac:dyDescent="0.25">
      <c r="A561" s="147" t="s">
        <v>1029</v>
      </c>
      <c r="B561" s="205" t="s">
        <v>25</v>
      </c>
      <c r="C561" s="211">
        <v>88309</v>
      </c>
      <c r="D561" s="208" t="s">
        <v>1173</v>
      </c>
      <c r="E561" s="207" t="s">
        <v>997</v>
      </c>
      <c r="F561" s="212">
        <v>0.4</v>
      </c>
      <c r="G561" s="150">
        <v>20.329999999999998</v>
      </c>
      <c r="H561" s="150">
        <f>F561*G561</f>
        <v>8.1319999999999997</v>
      </c>
    </row>
    <row r="562" spans="1:8" x14ac:dyDescent="0.25">
      <c r="A562" s="17"/>
      <c r="B562" s="29"/>
      <c r="C562" s="29"/>
      <c r="D562" s="18"/>
      <c r="E562" s="20"/>
      <c r="F562" s="129"/>
      <c r="G562" s="18"/>
      <c r="H562" s="182">
        <f>SUM(H560:H561)</f>
        <v>16.347000000000001</v>
      </c>
    </row>
    <row r="564" spans="1:8" ht="33.75" x14ac:dyDescent="0.25">
      <c r="A564" s="141" t="s">
        <v>53</v>
      </c>
      <c r="B564" s="141" t="s">
        <v>14</v>
      </c>
      <c r="C564" s="142" t="s">
        <v>13</v>
      </c>
      <c r="D564" s="160" t="s">
        <v>54</v>
      </c>
      <c r="E564" s="141" t="s">
        <v>46</v>
      </c>
      <c r="F564" s="204" t="s">
        <v>1025</v>
      </c>
      <c r="G564" s="142" t="s">
        <v>1026</v>
      </c>
      <c r="H564" s="146" t="s">
        <v>1027</v>
      </c>
    </row>
    <row r="565" spans="1:8" ht="22.5" x14ac:dyDescent="0.25">
      <c r="A565" s="184" t="s">
        <v>1029</v>
      </c>
      <c r="B565" s="147" t="s">
        <v>25</v>
      </c>
      <c r="C565" s="147">
        <v>88316</v>
      </c>
      <c r="D565" s="206" t="s">
        <v>1031</v>
      </c>
      <c r="E565" s="147" t="s">
        <v>997</v>
      </c>
      <c r="F565" s="212" t="s">
        <v>1289</v>
      </c>
      <c r="G565" s="150">
        <v>16.43</v>
      </c>
      <c r="H565" s="150">
        <f>F565*G565</f>
        <v>10.953880999999999</v>
      </c>
    </row>
    <row r="566" spans="1:8" x14ac:dyDescent="0.25">
      <c r="A566" s="17"/>
      <c r="B566" s="29"/>
      <c r="C566" s="29"/>
      <c r="D566" s="18"/>
      <c r="E566" s="20"/>
      <c r="F566" s="129"/>
      <c r="G566" s="18"/>
      <c r="H566" s="182">
        <f>SUM(H565:H565)</f>
        <v>10.953880999999999</v>
      </c>
    </row>
    <row r="568" spans="1:8" ht="22.5" x14ac:dyDescent="0.25">
      <c r="A568" s="141" t="s">
        <v>56</v>
      </c>
      <c r="B568" s="141" t="s">
        <v>14</v>
      </c>
      <c r="C568" s="142" t="s">
        <v>13</v>
      </c>
      <c r="D568" s="160" t="s">
        <v>57</v>
      </c>
      <c r="E568" s="141" t="s">
        <v>46</v>
      </c>
      <c r="F568" s="204" t="s">
        <v>1025</v>
      </c>
      <c r="G568" s="142" t="s">
        <v>1026</v>
      </c>
      <c r="H568" s="146" t="s">
        <v>1027</v>
      </c>
    </row>
    <row r="569" spans="1:8" ht="33.75" x14ac:dyDescent="0.25">
      <c r="A569" s="184" t="s">
        <v>1029</v>
      </c>
      <c r="B569" s="147" t="s">
        <v>25</v>
      </c>
      <c r="C569" s="147" t="s">
        <v>1161</v>
      </c>
      <c r="D569" s="206" t="s">
        <v>1162</v>
      </c>
      <c r="E569" s="147" t="s">
        <v>997</v>
      </c>
      <c r="F569" s="150" t="s">
        <v>1290</v>
      </c>
      <c r="G569" s="150">
        <v>16.21</v>
      </c>
      <c r="H569" s="150">
        <f>F569*G569</f>
        <v>4.0525000000000002</v>
      </c>
    </row>
    <row r="570" spans="1:8" ht="33.75" x14ac:dyDescent="0.25">
      <c r="A570" s="147" t="s">
        <v>1029</v>
      </c>
      <c r="B570" s="205" t="s">
        <v>25</v>
      </c>
      <c r="C570" s="211" t="s">
        <v>1164</v>
      </c>
      <c r="D570" s="208" t="s">
        <v>1145</v>
      </c>
      <c r="E570" s="207" t="s">
        <v>997</v>
      </c>
      <c r="F570" s="150" t="s">
        <v>1290</v>
      </c>
      <c r="G570" s="150">
        <v>20.81</v>
      </c>
      <c r="H570" s="150">
        <f>F570*G570</f>
        <v>5.2024999999999997</v>
      </c>
    </row>
    <row r="571" spans="1:8" x14ac:dyDescent="0.25">
      <c r="A571" s="17"/>
      <c r="B571" s="29"/>
      <c r="C571" s="29"/>
      <c r="D571" s="18"/>
      <c r="E571" s="20"/>
      <c r="F571" s="129"/>
      <c r="G571" s="18"/>
      <c r="H571" s="182">
        <f>SUM(H569:H570)</f>
        <v>9.254999999999999</v>
      </c>
    </row>
    <row r="573" spans="1:8" ht="22.5" x14ac:dyDescent="0.25">
      <c r="A573" s="141" t="s">
        <v>41</v>
      </c>
      <c r="B573" s="141" t="s">
        <v>14</v>
      </c>
      <c r="C573" s="142" t="s">
        <v>13</v>
      </c>
      <c r="D573" s="160" t="s">
        <v>43</v>
      </c>
      <c r="E573" s="141" t="s">
        <v>46</v>
      </c>
      <c r="F573" s="204" t="s">
        <v>1025</v>
      </c>
      <c r="G573" s="142" t="s">
        <v>1026</v>
      </c>
      <c r="H573" s="146" t="s">
        <v>1027</v>
      </c>
    </row>
    <row r="574" spans="1:8" ht="22.5" x14ac:dyDescent="0.25">
      <c r="A574" s="184" t="s">
        <v>1029</v>
      </c>
      <c r="B574" s="147" t="s">
        <v>25</v>
      </c>
      <c r="C574" s="147">
        <v>88316</v>
      </c>
      <c r="D574" s="206" t="s">
        <v>1031</v>
      </c>
      <c r="E574" s="147" t="s">
        <v>997</v>
      </c>
      <c r="F574" s="201">
        <v>1</v>
      </c>
      <c r="G574" s="150">
        <v>16.43</v>
      </c>
      <c r="H574" s="150">
        <f>F574*G574</f>
        <v>16.43</v>
      </c>
    </row>
    <row r="575" spans="1:8" x14ac:dyDescent="0.25">
      <c r="A575" s="17"/>
      <c r="B575" s="29"/>
      <c r="C575" s="29"/>
      <c r="D575" s="18"/>
      <c r="E575" s="20"/>
      <c r="F575" s="129"/>
      <c r="G575" s="18"/>
      <c r="H575" s="182">
        <f>SUM(H574:H574)</f>
        <v>16.43</v>
      </c>
    </row>
    <row r="577" spans="1:8" ht="22.5" x14ac:dyDescent="0.25">
      <c r="A577" s="141" t="s">
        <v>62</v>
      </c>
      <c r="B577" s="141" t="s">
        <v>14</v>
      </c>
      <c r="C577" s="142" t="s">
        <v>13</v>
      </c>
      <c r="D577" s="160" t="s">
        <v>91</v>
      </c>
      <c r="E577" s="141" t="s">
        <v>46</v>
      </c>
      <c r="F577" s="204" t="s">
        <v>1025</v>
      </c>
      <c r="G577" s="142" t="s">
        <v>1026</v>
      </c>
      <c r="H577" s="146" t="s">
        <v>1027</v>
      </c>
    </row>
    <row r="578" spans="1:8" ht="22.5" x14ac:dyDescent="0.25">
      <c r="A578" s="184" t="s">
        <v>1029</v>
      </c>
      <c r="B578" s="147" t="s">
        <v>25</v>
      </c>
      <c r="C578" s="147">
        <v>88316</v>
      </c>
      <c r="D578" s="206" t="s">
        <v>1031</v>
      </c>
      <c r="E578" s="147" t="s">
        <v>997</v>
      </c>
      <c r="F578" s="201">
        <v>1.5</v>
      </c>
      <c r="G578" s="150">
        <v>16.43</v>
      </c>
      <c r="H578" s="150">
        <f>F578*G578</f>
        <v>24.645</v>
      </c>
    </row>
    <row r="579" spans="1:8" x14ac:dyDescent="0.25">
      <c r="A579" s="17"/>
      <c r="B579" s="29"/>
      <c r="C579" s="29"/>
      <c r="D579" s="18"/>
      <c r="E579" s="20"/>
      <c r="F579" s="129"/>
      <c r="G579" s="18"/>
      <c r="H579" s="182">
        <f>SUM(H578:H578)</f>
        <v>24.645</v>
      </c>
    </row>
    <row r="581" spans="1:8" ht="22.5" x14ac:dyDescent="0.25">
      <c r="A581" s="141" t="s">
        <v>86</v>
      </c>
      <c r="B581" s="141" t="s">
        <v>14</v>
      </c>
      <c r="C581" s="142" t="s">
        <v>13</v>
      </c>
      <c r="D581" s="160" t="s">
        <v>87</v>
      </c>
      <c r="E581" s="141" t="s">
        <v>46</v>
      </c>
      <c r="F581" s="204" t="s">
        <v>1025</v>
      </c>
      <c r="G581" s="142" t="s">
        <v>1026</v>
      </c>
      <c r="H581" s="146" t="s">
        <v>1027</v>
      </c>
    </row>
    <row r="582" spans="1:8" ht="22.5" x14ac:dyDescent="0.25">
      <c r="A582" s="184" t="s">
        <v>1029</v>
      </c>
      <c r="B582" s="147" t="s">
        <v>25</v>
      </c>
      <c r="C582" s="147">
        <v>88316</v>
      </c>
      <c r="D582" s="206" t="s">
        <v>1031</v>
      </c>
      <c r="E582" s="147" t="s">
        <v>997</v>
      </c>
      <c r="F582" s="201">
        <v>0.2</v>
      </c>
      <c r="G582" s="150">
        <v>16.43</v>
      </c>
      <c r="H582" s="150">
        <f>F582*G582</f>
        <v>3.286</v>
      </c>
    </row>
    <row r="583" spans="1:8" x14ac:dyDescent="0.25">
      <c r="A583" s="17"/>
      <c r="B583" s="29"/>
      <c r="C583" s="29"/>
      <c r="D583" s="18"/>
      <c r="E583" s="20"/>
      <c r="F583" s="129"/>
      <c r="G583" s="18"/>
      <c r="H583" s="182">
        <f>SUM(H582:H582)</f>
        <v>3.286</v>
      </c>
    </row>
    <row r="585" spans="1:8" ht="22.5" x14ac:dyDescent="0.25">
      <c r="A585" s="141" t="s">
        <v>1004</v>
      </c>
      <c r="B585" s="141" t="s">
        <v>14</v>
      </c>
      <c r="C585" s="142" t="s">
        <v>13</v>
      </c>
      <c r="D585" s="160" t="s">
        <v>1005</v>
      </c>
      <c r="E585" s="141" t="s">
        <v>46</v>
      </c>
      <c r="F585" s="204" t="s">
        <v>1025</v>
      </c>
      <c r="G585" s="142" t="s">
        <v>1026</v>
      </c>
      <c r="H585" s="146" t="s">
        <v>1027</v>
      </c>
    </row>
    <row r="586" spans="1:8" ht="45" x14ac:dyDescent="0.25">
      <c r="A586" s="184" t="s">
        <v>1032</v>
      </c>
      <c r="B586" s="147" t="s">
        <v>25</v>
      </c>
      <c r="C586" s="147" t="s">
        <v>1291</v>
      </c>
      <c r="D586" s="206" t="s">
        <v>1292</v>
      </c>
      <c r="E586" s="147" t="s">
        <v>1293</v>
      </c>
      <c r="F586" s="201" t="s">
        <v>1101</v>
      </c>
      <c r="G586" s="150">
        <v>15</v>
      </c>
      <c r="H586" s="150">
        <f>F586*G586</f>
        <v>15</v>
      </c>
    </row>
    <row r="587" spans="1:8" ht="22.5" x14ac:dyDescent="0.25">
      <c r="A587" s="184" t="s">
        <v>1029</v>
      </c>
      <c r="B587" s="147" t="s">
        <v>25</v>
      </c>
      <c r="C587" s="147" t="s">
        <v>1030</v>
      </c>
      <c r="D587" s="206" t="s">
        <v>1031</v>
      </c>
      <c r="E587" s="147" t="s">
        <v>997</v>
      </c>
      <c r="F587" s="201" t="s">
        <v>1100</v>
      </c>
      <c r="G587" s="150">
        <v>16.43</v>
      </c>
      <c r="H587" s="150">
        <f>F587*G587</f>
        <v>8.2149999999999999</v>
      </c>
    </row>
    <row r="588" spans="1:8" x14ac:dyDescent="0.25">
      <c r="A588" s="17"/>
      <c r="B588" s="29"/>
      <c r="C588" s="29"/>
      <c r="D588" s="18"/>
      <c r="E588" s="20"/>
      <c r="F588" s="129"/>
      <c r="G588" s="18"/>
      <c r="H588" s="182">
        <f>SUM(H586:H587)</f>
        <v>23.215</v>
      </c>
    </row>
    <row r="589" spans="1:8" x14ac:dyDescent="0.25">
      <c r="A589" s="131"/>
      <c r="B589" s="132"/>
      <c r="C589" s="132"/>
      <c r="D589" s="133"/>
      <c r="E589" s="134"/>
      <c r="F589" s="135"/>
      <c r="G589" s="133"/>
      <c r="H589" s="136"/>
    </row>
    <row r="590" spans="1:8" ht="45" x14ac:dyDescent="0.25">
      <c r="A590" s="141" t="s">
        <v>75</v>
      </c>
      <c r="B590" s="141" t="s">
        <v>14</v>
      </c>
      <c r="C590" s="142" t="s">
        <v>13</v>
      </c>
      <c r="D590" s="160" t="s">
        <v>1294</v>
      </c>
      <c r="E590" s="141" t="s">
        <v>46</v>
      </c>
      <c r="F590" s="204" t="s">
        <v>1025</v>
      </c>
      <c r="G590" s="142" t="s">
        <v>1026</v>
      </c>
      <c r="H590" s="146" t="s">
        <v>1027</v>
      </c>
    </row>
    <row r="591" spans="1:8" ht="78.75" x14ac:dyDescent="0.25">
      <c r="A591" s="184" t="s">
        <v>1029</v>
      </c>
      <c r="B591" s="147" t="s">
        <v>25</v>
      </c>
      <c r="C591" s="147" t="s">
        <v>1295</v>
      </c>
      <c r="D591" s="206" t="s">
        <v>1296</v>
      </c>
      <c r="E591" s="147" t="s">
        <v>1083</v>
      </c>
      <c r="F591" s="201" t="s">
        <v>1297</v>
      </c>
      <c r="G591" s="150">
        <v>137.80000000000001</v>
      </c>
      <c r="H591" s="150">
        <f>F591*G591</f>
        <v>4.2718000000000007</v>
      </c>
    </row>
    <row r="592" spans="1:8" ht="22.5" x14ac:dyDescent="0.25">
      <c r="A592" s="184" t="s">
        <v>1029</v>
      </c>
      <c r="B592" s="147" t="s">
        <v>25</v>
      </c>
      <c r="C592" s="147" t="s">
        <v>1298</v>
      </c>
      <c r="D592" s="206" t="s">
        <v>1299</v>
      </c>
      <c r="E592" s="147" t="s">
        <v>997</v>
      </c>
      <c r="F592" s="201" t="s">
        <v>1300</v>
      </c>
      <c r="G592" s="150">
        <v>19.63</v>
      </c>
      <c r="H592" s="150">
        <f>F592*G592</f>
        <v>98.149999999999991</v>
      </c>
    </row>
    <row r="593" spans="1:8" x14ac:dyDescent="0.25">
      <c r="A593" s="17"/>
      <c r="B593" s="29"/>
      <c r="C593" s="29"/>
      <c r="D593" s="18"/>
      <c r="E593" s="20"/>
      <c r="F593" s="129"/>
      <c r="G593" s="18"/>
      <c r="H593" s="182">
        <f>SUM(H591:H592)</f>
        <v>102.42179999999999</v>
      </c>
    </row>
    <row r="594" spans="1:8" x14ac:dyDescent="0.25">
      <c r="A594" s="131"/>
      <c r="B594" s="132"/>
      <c r="C594" s="132"/>
      <c r="D594" s="133"/>
      <c r="E594" s="134"/>
      <c r="F594" s="135"/>
      <c r="G594" s="133"/>
      <c r="H594" s="136"/>
    </row>
    <row r="595" spans="1:8" ht="112.5" x14ac:dyDescent="0.25">
      <c r="A595" s="141" t="s">
        <v>290</v>
      </c>
      <c r="B595" s="141" t="s">
        <v>14</v>
      </c>
      <c r="C595" s="142" t="s">
        <v>13</v>
      </c>
      <c r="D595" s="160" t="s">
        <v>291</v>
      </c>
      <c r="E595" s="141" t="s">
        <v>27</v>
      </c>
      <c r="F595" s="204" t="s">
        <v>1025</v>
      </c>
      <c r="G595" s="142" t="s">
        <v>1026</v>
      </c>
      <c r="H595" s="146" t="s">
        <v>1027</v>
      </c>
    </row>
    <row r="596" spans="1:8" ht="22.5" x14ac:dyDescent="0.25">
      <c r="A596" s="184" t="s">
        <v>1032</v>
      </c>
      <c r="B596" s="147" t="s">
        <v>25</v>
      </c>
      <c r="C596" s="147" t="s">
        <v>1301</v>
      </c>
      <c r="D596" s="206" t="s">
        <v>1302</v>
      </c>
      <c r="E596" s="147" t="s">
        <v>125</v>
      </c>
      <c r="F596" s="201" t="s">
        <v>1303</v>
      </c>
      <c r="G596" s="150">
        <v>5.76</v>
      </c>
      <c r="H596" s="150">
        <f>F596*G596</f>
        <v>57.599999999999994</v>
      </c>
    </row>
    <row r="597" spans="1:8" ht="22.5" x14ac:dyDescent="0.25">
      <c r="A597" s="184" t="s">
        <v>1029</v>
      </c>
      <c r="B597" s="147" t="s">
        <v>25</v>
      </c>
      <c r="C597" s="147" t="s">
        <v>1304</v>
      </c>
      <c r="D597" s="206" t="s">
        <v>1305</v>
      </c>
      <c r="E597" s="147" t="s">
        <v>997</v>
      </c>
      <c r="F597" s="201" t="s">
        <v>1306</v>
      </c>
      <c r="G597" s="150">
        <v>15.44</v>
      </c>
      <c r="H597" s="150">
        <f>F597*G597</f>
        <v>10.808</v>
      </c>
    </row>
    <row r="598" spans="1:8" ht="22.5" x14ac:dyDescent="0.25">
      <c r="A598" s="184" t="s">
        <v>1029</v>
      </c>
      <c r="B598" s="147" t="s">
        <v>25</v>
      </c>
      <c r="C598" s="147" t="s">
        <v>1030</v>
      </c>
      <c r="D598" s="206" t="s">
        <v>1031</v>
      </c>
      <c r="E598" s="147" t="s">
        <v>997</v>
      </c>
      <c r="F598" s="201" t="s">
        <v>1306</v>
      </c>
      <c r="G598" s="150">
        <v>16.43</v>
      </c>
      <c r="H598" s="150">
        <f>F598*G598</f>
        <v>11.500999999999999</v>
      </c>
    </row>
    <row r="599" spans="1:8" x14ac:dyDescent="0.25">
      <c r="A599" s="17"/>
      <c r="B599" s="29"/>
      <c r="C599" s="29"/>
      <c r="D599" s="18"/>
      <c r="E599" s="20"/>
      <c r="F599" s="129"/>
      <c r="G599" s="18"/>
      <c r="H599" s="182">
        <f>SUM(H596:H598)</f>
        <v>79.908999999999992</v>
      </c>
    </row>
    <row r="600" spans="1:8" x14ac:dyDescent="0.25">
      <c r="A600" s="131"/>
      <c r="B600" s="132"/>
      <c r="C600" s="132"/>
      <c r="D600" s="133"/>
      <c r="E600" s="134"/>
      <c r="F600" s="135"/>
      <c r="G600" s="133"/>
      <c r="H600" s="136"/>
    </row>
    <row r="601" spans="1:8" ht="22.5" x14ac:dyDescent="0.25">
      <c r="A601" s="141" t="s">
        <v>893</v>
      </c>
      <c r="B601" s="141" t="s">
        <v>14</v>
      </c>
      <c r="C601" s="142" t="s">
        <v>13</v>
      </c>
      <c r="D601" s="160" t="s">
        <v>894</v>
      </c>
      <c r="E601" s="141" t="s">
        <v>46</v>
      </c>
      <c r="F601" s="204" t="s">
        <v>1025</v>
      </c>
      <c r="G601" s="142" t="s">
        <v>1026</v>
      </c>
      <c r="H601" s="146" t="s">
        <v>1027</v>
      </c>
    </row>
    <row r="602" spans="1:8" x14ac:dyDescent="0.25">
      <c r="A602" s="184" t="s">
        <v>1032</v>
      </c>
      <c r="B602" s="147" t="s">
        <v>25</v>
      </c>
      <c r="C602" s="147" t="s">
        <v>1307</v>
      </c>
      <c r="D602" s="206" t="s">
        <v>1308</v>
      </c>
      <c r="E602" s="147" t="s">
        <v>125</v>
      </c>
      <c r="F602" s="201" t="s">
        <v>1309</v>
      </c>
      <c r="G602" s="150">
        <v>4.99</v>
      </c>
      <c r="H602" s="150">
        <f t="shared" ref="H602:H612" si="9">F602*G602</f>
        <v>4.36625</v>
      </c>
    </row>
    <row r="603" spans="1:8" ht="33.75" x14ac:dyDescent="0.25">
      <c r="A603" s="184" t="s">
        <v>1032</v>
      </c>
      <c r="B603" s="147" t="s">
        <v>25</v>
      </c>
      <c r="C603" s="147" t="s">
        <v>1310</v>
      </c>
      <c r="D603" s="206" t="s">
        <v>1311</v>
      </c>
      <c r="E603" s="147" t="s">
        <v>37</v>
      </c>
      <c r="F603" s="201" t="s">
        <v>1312</v>
      </c>
      <c r="G603" s="150">
        <v>66.5</v>
      </c>
      <c r="H603" s="150">
        <f t="shared" si="9"/>
        <v>0.54463499999999998</v>
      </c>
    </row>
    <row r="604" spans="1:8" ht="33.75" x14ac:dyDescent="0.25">
      <c r="A604" s="184" t="s">
        <v>1032</v>
      </c>
      <c r="B604" s="147" t="s">
        <v>25</v>
      </c>
      <c r="C604" s="147" t="s">
        <v>1313</v>
      </c>
      <c r="D604" s="206" t="s">
        <v>1178</v>
      </c>
      <c r="E604" s="147" t="s">
        <v>37</v>
      </c>
      <c r="F604" s="201" t="s">
        <v>1314</v>
      </c>
      <c r="G604" s="150">
        <v>62.75</v>
      </c>
      <c r="H604" s="150">
        <f t="shared" si="9"/>
        <v>6.2750000000000004</v>
      </c>
    </row>
    <row r="605" spans="1:8" ht="22.5" x14ac:dyDescent="0.25">
      <c r="A605" s="184" t="s">
        <v>1032</v>
      </c>
      <c r="B605" s="147" t="s">
        <v>25</v>
      </c>
      <c r="C605" s="147" t="s">
        <v>1315</v>
      </c>
      <c r="D605" s="206" t="s">
        <v>1316</v>
      </c>
      <c r="E605" s="147" t="s">
        <v>125</v>
      </c>
      <c r="F605" s="201" t="s">
        <v>1317</v>
      </c>
      <c r="G605" s="150">
        <v>0.57999999999999996</v>
      </c>
      <c r="H605" s="150">
        <f t="shared" si="9"/>
        <v>4.7849999999999993</v>
      </c>
    </row>
    <row r="606" spans="1:8" ht="33.75" x14ac:dyDescent="0.25">
      <c r="A606" s="184" t="s">
        <v>1032</v>
      </c>
      <c r="B606" s="147" t="s">
        <v>25</v>
      </c>
      <c r="C606" s="147" t="s">
        <v>1318</v>
      </c>
      <c r="D606" s="206" t="s">
        <v>1319</v>
      </c>
      <c r="E606" s="147" t="s">
        <v>27</v>
      </c>
      <c r="F606" s="201" t="s">
        <v>1314</v>
      </c>
      <c r="G606" s="150">
        <v>24.01</v>
      </c>
      <c r="H606" s="150">
        <f t="shared" si="9"/>
        <v>2.4010000000000002</v>
      </c>
    </row>
    <row r="607" spans="1:8" ht="22.5" x14ac:dyDescent="0.25">
      <c r="A607" s="184" t="s">
        <v>1032</v>
      </c>
      <c r="B607" s="147" t="s">
        <v>25</v>
      </c>
      <c r="C607" s="147" t="s">
        <v>1320</v>
      </c>
      <c r="D607" s="206" t="s">
        <v>1179</v>
      </c>
      <c r="E607" s="147" t="s">
        <v>125</v>
      </c>
      <c r="F607" s="201" t="s">
        <v>1321</v>
      </c>
      <c r="G607" s="150">
        <v>0.55000000000000004</v>
      </c>
      <c r="H607" s="150">
        <f t="shared" si="9"/>
        <v>13.249500000000001</v>
      </c>
    </row>
    <row r="608" spans="1:8" ht="33.75" x14ac:dyDescent="0.25">
      <c r="A608" s="184" t="s">
        <v>1032</v>
      </c>
      <c r="B608" s="147" t="s">
        <v>25</v>
      </c>
      <c r="C608" s="147" t="s">
        <v>1322</v>
      </c>
      <c r="D608" s="206" t="s">
        <v>1323</v>
      </c>
      <c r="E608" s="147" t="s">
        <v>37</v>
      </c>
      <c r="F608" s="201" t="s">
        <v>1324</v>
      </c>
      <c r="G608" s="150">
        <v>63.77</v>
      </c>
      <c r="H608" s="150">
        <f t="shared" si="9"/>
        <v>0.60517730000000003</v>
      </c>
    </row>
    <row r="609" spans="1:8" ht="33.75" x14ac:dyDescent="0.25">
      <c r="A609" s="184" t="s">
        <v>1032</v>
      </c>
      <c r="B609" s="147" t="s">
        <v>25</v>
      </c>
      <c r="C609" s="147" t="s">
        <v>1325</v>
      </c>
      <c r="D609" s="206" t="s">
        <v>1326</v>
      </c>
      <c r="E609" s="147" t="s">
        <v>37</v>
      </c>
      <c r="F609" s="201" t="s">
        <v>1327</v>
      </c>
      <c r="G609" s="150">
        <v>63.77</v>
      </c>
      <c r="H609" s="150">
        <f t="shared" si="9"/>
        <v>0.51016000000000006</v>
      </c>
    </row>
    <row r="610" spans="1:8" ht="22.5" x14ac:dyDescent="0.25">
      <c r="A610" s="184" t="s">
        <v>1032</v>
      </c>
      <c r="B610" s="147" t="s">
        <v>25</v>
      </c>
      <c r="C610" s="147" t="s">
        <v>1328</v>
      </c>
      <c r="D610" s="206" t="s">
        <v>1329</v>
      </c>
      <c r="E610" s="147" t="s">
        <v>46</v>
      </c>
      <c r="F610" s="201" t="s">
        <v>1330</v>
      </c>
      <c r="G610" s="150">
        <v>0.35</v>
      </c>
      <c r="H610" s="150">
        <f t="shared" si="9"/>
        <v>48.3</v>
      </c>
    </row>
    <row r="611" spans="1:8" ht="22.5" x14ac:dyDescent="0.25">
      <c r="A611" s="184" t="s">
        <v>1029</v>
      </c>
      <c r="B611" s="147" t="s">
        <v>25</v>
      </c>
      <c r="C611" s="147" t="s">
        <v>1331</v>
      </c>
      <c r="D611" s="206" t="s">
        <v>1173</v>
      </c>
      <c r="E611" s="147" t="s">
        <v>997</v>
      </c>
      <c r="F611" s="201" t="s">
        <v>1332</v>
      </c>
      <c r="G611" s="150">
        <v>20.329999999999998</v>
      </c>
      <c r="H611" s="150">
        <f t="shared" si="9"/>
        <v>77.253999999999991</v>
      </c>
    </row>
    <row r="612" spans="1:8" ht="22.5" x14ac:dyDescent="0.25">
      <c r="A612" s="184" t="s">
        <v>1029</v>
      </c>
      <c r="B612" s="147" t="s">
        <v>25</v>
      </c>
      <c r="C612" s="147" t="s">
        <v>1030</v>
      </c>
      <c r="D612" s="206" t="s">
        <v>1031</v>
      </c>
      <c r="E612" s="147" t="s">
        <v>997</v>
      </c>
      <c r="F612" s="201" t="s">
        <v>1333</v>
      </c>
      <c r="G612" s="150">
        <v>16.43</v>
      </c>
      <c r="H612" s="150">
        <f t="shared" si="9"/>
        <v>99.237200000000001</v>
      </c>
    </row>
    <row r="613" spans="1:8" x14ac:dyDescent="0.25">
      <c r="A613" s="17"/>
      <c r="B613" s="29"/>
      <c r="C613" s="29"/>
      <c r="D613" s="18"/>
      <c r="E613" s="20"/>
      <c r="F613" s="129"/>
      <c r="G613" s="18"/>
      <c r="H613" s="182">
        <f>SUM(H602:H612)</f>
        <v>257.5279223</v>
      </c>
    </row>
  </sheetData>
  <mergeCells count="2">
    <mergeCell ref="A5:H5"/>
    <mergeCell ref="A6:H6"/>
  </mergeCells>
  <conditionalFormatting sqref="C122:F129 D120 C121 E121:F121">
    <cfRule type="expression" dxfId="1" priority="2">
      <formula>AND(#REF!&lt;&gt;"COMPOSICAO",#REF!&lt;&gt;"INSUMO",#REF!&lt;&gt;"")</formula>
    </cfRule>
    <cfRule type="expression" dxfId="0" priority="3">
      <formula>AND(OR(#REF!="COMPOSICAO",#REF!="INSUMO",#REF!&lt;&gt;""),#REF!&lt;&gt;"")</formula>
    </cfRule>
  </conditionalFormatting>
  <pageMargins left="0.51180555555555496" right="0.51180555555555496" top="0.78749999999999998" bottom="0.78749999999999998" header="0.51180555555555496" footer="0.51180555555555496"/>
  <pageSetup paperSize="9" scale="75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zoomScaleNormal="100" workbookViewId="0">
      <selection activeCell="C7" sqref="C7"/>
    </sheetView>
  </sheetViews>
  <sheetFormatPr defaultRowHeight="15" x14ac:dyDescent="0.25"/>
  <cols>
    <col min="1" max="1" width="11.7109375" customWidth="1"/>
    <col min="2" max="2" width="46.85546875" customWidth="1"/>
    <col min="3" max="3" width="11.85546875" customWidth="1"/>
    <col min="4" max="4" width="43.5703125" customWidth="1"/>
    <col min="5" max="5" width="9.5703125" customWidth="1"/>
    <col min="6" max="6" width="11" customWidth="1"/>
    <col min="7" max="7" width="9" customWidth="1"/>
    <col min="8" max="8" width="7.42578125" customWidth="1"/>
    <col min="9" max="1025" width="8.5703125" customWidth="1"/>
  </cols>
  <sheetData>
    <row r="1" spans="1:8" x14ac:dyDescent="0.25">
      <c r="A1" s="17"/>
      <c r="B1" s="29"/>
      <c r="C1" s="29"/>
      <c r="D1" s="18"/>
      <c r="E1" s="20"/>
      <c r="F1" s="129"/>
      <c r="G1" s="18"/>
      <c r="H1" s="130"/>
    </row>
    <row r="2" spans="1:8" x14ac:dyDescent="0.25">
      <c r="A2" s="17"/>
      <c r="B2" s="29"/>
      <c r="C2" s="29"/>
      <c r="D2" s="18"/>
      <c r="E2" s="20"/>
      <c r="F2" s="129"/>
      <c r="G2" s="18"/>
      <c r="H2" s="130"/>
    </row>
    <row r="3" spans="1:8" x14ac:dyDescent="0.25">
      <c r="A3" s="17"/>
      <c r="B3" s="29"/>
      <c r="C3" s="29"/>
      <c r="D3" s="18"/>
      <c r="E3" s="20"/>
      <c r="F3" s="129"/>
      <c r="G3" s="18"/>
      <c r="H3" s="130"/>
    </row>
    <row r="4" spans="1:8" x14ac:dyDescent="0.25">
      <c r="A4" s="131"/>
      <c r="B4" s="132"/>
      <c r="C4" s="132"/>
      <c r="D4" s="133"/>
      <c r="E4" s="134"/>
      <c r="F4" s="135"/>
      <c r="G4" s="133"/>
      <c r="H4" s="136"/>
    </row>
    <row r="5" spans="1:8" ht="15.75" x14ac:dyDescent="0.25">
      <c r="A5" s="8" t="s">
        <v>1021</v>
      </c>
      <c r="B5" s="8"/>
      <c r="C5" s="8"/>
      <c r="D5" s="8"/>
      <c r="E5" s="8"/>
      <c r="F5" s="223"/>
      <c r="G5" s="223"/>
      <c r="H5" s="223"/>
    </row>
    <row r="6" spans="1:8" ht="15.75" x14ac:dyDescent="0.25">
      <c r="A6" s="8" t="s">
        <v>1022</v>
      </c>
      <c r="B6" s="8"/>
      <c r="C6" s="8"/>
      <c r="D6" s="8"/>
      <c r="E6" s="8"/>
      <c r="F6" s="224"/>
      <c r="G6" s="224"/>
      <c r="H6" s="224"/>
    </row>
    <row r="8" spans="1:8" ht="15.75" x14ac:dyDescent="0.25">
      <c r="A8" s="7" t="s">
        <v>1334</v>
      </c>
      <c r="B8" s="7"/>
      <c r="C8" s="7"/>
      <c r="D8" s="7"/>
      <c r="E8" s="7"/>
    </row>
    <row r="11" spans="1:8" x14ac:dyDescent="0.25">
      <c r="A11" s="141" t="s">
        <v>1335</v>
      </c>
      <c r="B11" s="142" t="s">
        <v>1336</v>
      </c>
      <c r="C11" s="142" t="s">
        <v>1337</v>
      </c>
      <c r="D11" s="146" t="s">
        <v>1338</v>
      </c>
      <c r="E11" s="145" t="s">
        <v>1339</v>
      </c>
    </row>
    <row r="12" spans="1:8" ht="135" x14ac:dyDescent="0.25">
      <c r="A12" s="147"/>
      <c r="B12" s="148" t="s">
        <v>1222</v>
      </c>
      <c r="C12" s="225" t="s">
        <v>1340</v>
      </c>
      <c r="D12" s="226" t="s">
        <v>1341</v>
      </c>
      <c r="E12" s="227">
        <v>1988.18</v>
      </c>
    </row>
    <row r="13" spans="1:8" ht="150" x14ac:dyDescent="0.25">
      <c r="A13" s="147"/>
      <c r="B13" s="148" t="s">
        <v>1342</v>
      </c>
      <c r="C13" s="225" t="s">
        <v>1343</v>
      </c>
      <c r="D13" s="228" t="s">
        <v>1344</v>
      </c>
      <c r="E13" s="227">
        <v>1988.18</v>
      </c>
    </row>
    <row r="14" spans="1:8" x14ac:dyDescent="0.25">
      <c r="A14" s="147"/>
      <c r="B14" s="148" t="s">
        <v>1222</v>
      </c>
      <c r="C14" s="150" t="s">
        <v>1345</v>
      </c>
      <c r="D14" s="229" t="s">
        <v>1346</v>
      </c>
      <c r="E14" s="227">
        <v>997.99</v>
      </c>
      <c r="F14" s="140"/>
    </row>
    <row r="15" spans="1:8" x14ac:dyDescent="0.25">
      <c r="A15" s="152"/>
      <c r="B15" s="140"/>
      <c r="C15" s="140"/>
      <c r="D15" s="230" t="s">
        <v>1347</v>
      </c>
      <c r="E15" s="153">
        <f>MEDIAN(E12:E14)</f>
        <v>1988.18</v>
      </c>
    </row>
    <row r="16" spans="1:8" x14ac:dyDescent="0.25">
      <c r="D16" s="231"/>
    </row>
    <row r="17" spans="1:5" x14ac:dyDescent="0.25">
      <c r="A17" s="141" t="s">
        <v>1348</v>
      </c>
      <c r="B17" s="142" t="s">
        <v>1336</v>
      </c>
      <c r="C17" s="142" t="s">
        <v>1337</v>
      </c>
      <c r="D17" s="146" t="s">
        <v>1338</v>
      </c>
      <c r="E17" s="145" t="s">
        <v>1339</v>
      </c>
    </row>
    <row r="18" spans="1:5" ht="30" x14ac:dyDescent="0.25">
      <c r="A18" s="147"/>
      <c r="B18" s="148" t="s">
        <v>1226</v>
      </c>
      <c r="C18" s="150" t="s">
        <v>1349</v>
      </c>
      <c r="D18" s="232" t="s">
        <v>1350</v>
      </c>
      <c r="E18" s="227">
        <v>316.45</v>
      </c>
    </row>
    <row r="19" spans="1:5" ht="105" x14ac:dyDescent="0.25">
      <c r="A19" s="147"/>
      <c r="B19" s="148" t="s">
        <v>1226</v>
      </c>
      <c r="C19" s="150" t="s">
        <v>1340</v>
      </c>
      <c r="D19" s="232" t="s">
        <v>1351</v>
      </c>
      <c r="E19" s="227">
        <v>168.32</v>
      </c>
    </row>
    <row r="20" spans="1:5" ht="90" x14ac:dyDescent="0.25">
      <c r="A20" s="147"/>
      <c r="B20" s="148" t="s">
        <v>1226</v>
      </c>
      <c r="C20" s="150" t="s">
        <v>1352</v>
      </c>
      <c r="D20" s="232" t="s">
        <v>1353</v>
      </c>
      <c r="E20" s="227">
        <v>195.09</v>
      </c>
    </row>
    <row r="21" spans="1:5" x14ac:dyDescent="0.25">
      <c r="D21" s="230" t="s">
        <v>1347</v>
      </c>
      <c r="E21" s="153">
        <f>MEDIAN(E18:E20)</f>
        <v>195.09</v>
      </c>
    </row>
    <row r="22" spans="1:5" x14ac:dyDescent="0.25">
      <c r="D22" s="231"/>
    </row>
    <row r="23" spans="1:5" x14ac:dyDescent="0.25">
      <c r="A23" s="141" t="s">
        <v>1354</v>
      </c>
      <c r="B23" s="142" t="s">
        <v>1336</v>
      </c>
      <c r="C23" s="142" t="s">
        <v>1337</v>
      </c>
      <c r="D23" s="146" t="s">
        <v>1338</v>
      </c>
      <c r="E23" s="145" t="s">
        <v>1339</v>
      </c>
    </row>
    <row r="24" spans="1:5" ht="30" x14ac:dyDescent="0.25">
      <c r="A24" s="147"/>
      <c r="B24" s="148" t="s">
        <v>1285</v>
      </c>
      <c r="C24" s="150" t="s">
        <v>1349</v>
      </c>
      <c r="D24" s="232" t="s">
        <v>1355</v>
      </c>
      <c r="E24" s="227">
        <v>722.05</v>
      </c>
    </row>
    <row r="25" spans="1:5" ht="90" x14ac:dyDescent="0.25">
      <c r="A25" s="147"/>
      <c r="B25" s="148" t="s">
        <v>1285</v>
      </c>
      <c r="C25" s="150" t="s">
        <v>1343</v>
      </c>
      <c r="D25" s="232" t="s">
        <v>1356</v>
      </c>
      <c r="E25" s="227">
        <v>215.68</v>
      </c>
    </row>
    <row r="26" spans="1:5" ht="90" x14ac:dyDescent="0.25">
      <c r="A26" s="147"/>
      <c r="B26" s="148" t="s">
        <v>1285</v>
      </c>
      <c r="C26" s="150" t="s">
        <v>1340</v>
      </c>
      <c r="D26" s="232" t="s">
        <v>1357</v>
      </c>
      <c r="E26" s="227">
        <v>219.78</v>
      </c>
    </row>
    <row r="27" spans="1:5" x14ac:dyDescent="0.25">
      <c r="D27" s="230" t="s">
        <v>1347</v>
      </c>
      <c r="E27" s="153">
        <f>MEDIAN(E24:E26)</f>
        <v>219.78</v>
      </c>
    </row>
  </sheetData>
  <mergeCells count="3">
    <mergeCell ref="A5:E5"/>
    <mergeCell ref="A6:E6"/>
    <mergeCell ref="A8:E8"/>
  </mergeCells>
  <hyperlinks>
    <hyperlink ref="D18" r:id="rId1" xr:uid="{00000000-0004-0000-0200-000000000000}"/>
    <hyperlink ref="D19" r:id="rId2" xr:uid="{00000000-0004-0000-0200-000001000000}"/>
    <hyperlink ref="D20" r:id="rId3" xr:uid="{00000000-0004-0000-0200-000002000000}"/>
    <hyperlink ref="D24" r:id="rId4" xr:uid="{00000000-0004-0000-0200-000003000000}"/>
    <hyperlink ref="D25" r:id="rId5" xr:uid="{00000000-0004-0000-0200-000004000000}"/>
    <hyperlink ref="D26" r:id="rId6" xr:uid="{00000000-0004-0000-0200-000005000000}"/>
  </hyperlinks>
  <pageMargins left="0.51180555555555496" right="0.51180555555555496" top="0.78749999999999998" bottom="0.78749999999999998" header="0.51180555555555496" footer="0.51180555555555496"/>
  <pageSetup paperSize="9" scale="74" firstPageNumber="0" orientation="portrait" horizontalDpi="300" verticalDpi="30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C36"/>
  <sheetViews>
    <sheetView zoomScaleNormal="100" workbookViewId="0">
      <selection activeCell="H11" sqref="H11"/>
    </sheetView>
  </sheetViews>
  <sheetFormatPr defaultRowHeight="15" x14ac:dyDescent="0.25"/>
  <cols>
    <col min="1" max="1" width="8.5703125" customWidth="1"/>
    <col min="2" max="2" width="63.5703125" customWidth="1"/>
    <col min="3" max="3" width="20.85546875" customWidth="1"/>
    <col min="4" max="1025" width="8.5703125" customWidth="1"/>
  </cols>
  <sheetData>
    <row r="6" spans="1:3" ht="15.75" x14ac:dyDescent="0.25">
      <c r="A6" s="6" t="s">
        <v>0</v>
      </c>
      <c r="B6" s="6"/>
      <c r="C6" s="6"/>
    </row>
    <row r="7" spans="1:3" ht="15.75" x14ac:dyDescent="0.25">
      <c r="A7" s="6" t="s">
        <v>1</v>
      </c>
      <c r="B7" s="6"/>
      <c r="C7" s="6"/>
    </row>
    <row r="8" spans="1:3" ht="15.75" x14ac:dyDescent="0.25">
      <c r="A8" s="6" t="s">
        <v>2</v>
      </c>
      <c r="B8" s="6"/>
      <c r="C8" s="6"/>
    </row>
    <row r="9" spans="1:3" s="29" customFormat="1" ht="12" x14ac:dyDescent="0.2"/>
    <row r="10" spans="1:3" s="29" customFormat="1" ht="12.75" x14ac:dyDescent="0.2">
      <c r="A10" s="233" t="s">
        <v>1358</v>
      </c>
      <c r="B10" s="234" t="s">
        <v>1359</v>
      </c>
      <c r="C10" s="28"/>
    </row>
    <row r="11" spans="1:3" s="29" customFormat="1" ht="12" customHeight="1" x14ac:dyDescent="0.2">
      <c r="A11" s="233" t="s">
        <v>1360</v>
      </c>
      <c r="B11" s="234" t="s">
        <v>1361</v>
      </c>
      <c r="C11" s="28"/>
    </row>
    <row r="12" spans="1:3" s="238" customFormat="1" ht="12.75" x14ac:dyDescent="0.2">
      <c r="A12" s="235" t="s">
        <v>1362</v>
      </c>
      <c r="B12" s="236" t="s">
        <v>1363</v>
      </c>
      <c r="C12" s="237"/>
    </row>
    <row r="13" spans="1:3" ht="15.75" x14ac:dyDescent="0.25">
      <c r="A13" s="18"/>
      <c r="B13" s="239" t="s">
        <v>4</v>
      </c>
      <c r="C13" s="18"/>
    </row>
    <row r="14" spans="1:3" x14ac:dyDescent="0.25">
      <c r="A14" s="240" t="s">
        <v>12</v>
      </c>
      <c r="B14" s="241" t="s">
        <v>1364</v>
      </c>
      <c r="C14" s="240" t="s">
        <v>1365</v>
      </c>
    </row>
    <row r="15" spans="1:3" s="244" customFormat="1" x14ac:dyDescent="0.25">
      <c r="A15" s="35" t="s">
        <v>21</v>
      </c>
      <c r="B15" s="242" t="s">
        <v>1366</v>
      </c>
      <c r="C15" s="243">
        <f>orçamento!I22</f>
        <v>9211.68</v>
      </c>
    </row>
    <row r="16" spans="1:3" s="244" customFormat="1" x14ac:dyDescent="0.25">
      <c r="A16" s="35" t="s">
        <v>32</v>
      </c>
      <c r="B16" s="242" t="s">
        <v>1367</v>
      </c>
      <c r="C16" s="243">
        <f>orçamento!I58</f>
        <v>22075.51</v>
      </c>
    </row>
    <row r="17" spans="1:3" s="244" customFormat="1" x14ac:dyDescent="0.25">
      <c r="A17" s="35" t="s">
        <v>103</v>
      </c>
      <c r="B17" s="242" t="s">
        <v>931</v>
      </c>
      <c r="C17" s="243">
        <f>orçamento!I70</f>
        <v>1975.35</v>
      </c>
    </row>
    <row r="18" spans="1:3" s="244" customFormat="1" x14ac:dyDescent="0.25">
      <c r="A18" s="35" t="s">
        <v>119</v>
      </c>
      <c r="B18" s="242" t="s">
        <v>1368</v>
      </c>
      <c r="C18" s="243">
        <f>orçamento!I121</f>
        <v>37004.950000000004</v>
      </c>
    </row>
    <row r="19" spans="1:3" s="244" customFormat="1" x14ac:dyDescent="0.25">
      <c r="A19" s="35" t="s">
        <v>186</v>
      </c>
      <c r="B19" s="242" t="s">
        <v>187</v>
      </c>
      <c r="C19" s="243">
        <f>orçamento!I124</f>
        <v>354.03</v>
      </c>
    </row>
    <row r="20" spans="1:3" s="244" customFormat="1" x14ac:dyDescent="0.25">
      <c r="A20" s="35" t="s">
        <v>192</v>
      </c>
      <c r="B20" s="242" t="s">
        <v>1369</v>
      </c>
      <c r="C20" s="243">
        <f>orçamento!I146</f>
        <v>44556.02</v>
      </c>
    </row>
    <row r="21" spans="1:3" s="244" customFormat="1" x14ac:dyDescent="0.25">
      <c r="A21" s="35" t="s">
        <v>226</v>
      </c>
      <c r="B21" s="242" t="s">
        <v>1370</v>
      </c>
      <c r="C21" s="243">
        <f>orçamento!I164</f>
        <v>38810.959999999999</v>
      </c>
    </row>
    <row r="22" spans="1:3" s="244" customFormat="1" x14ac:dyDescent="0.25">
      <c r="A22" s="35" t="s">
        <v>252</v>
      </c>
      <c r="B22" s="242" t="s">
        <v>253</v>
      </c>
      <c r="C22" s="243">
        <f>orçamento!I186</f>
        <v>97013.71</v>
      </c>
    </row>
    <row r="23" spans="1:3" s="244" customFormat="1" x14ac:dyDescent="0.25">
      <c r="A23" s="35" t="s">
        <v>286</v>
      </c>
      <c r="B23" s="242" t="s">
        <v>287</v>
      </c>
      <c r="C23" s="243">
        <f>orçamento!I242</f>
        <v>137716.33000000002</v>
      </c>
    </row>
    <row r="24" spans="1:3" s="244" customFormat="1" x14ac:dyDescent="0.25">
      <c r="A24" s="35" t="s">
        <v>370</v>
      </c>
      <c r="B24" s="242" t="s">
        <v>1371</v>
      </c>
      <c r="C24" s="243">
        <f>orçamento!I281</f>
        <v>243008.39</v>
      </c>
    </row>
    <row r="25" spans="1:3" s="244" customFormat="1" x14ac:dyDescent="0.25">
      <c r="A25" s="35" t="s">
        <v>445</v>
      </c>
      <c r="B25" s="242" t="s">
        <v>446</v>
      </c>
      <c r="C25" s="243">
        <f>orçamento!I284</f>
        <v>14289.24</v>
      </c>
    </row>
    <row r="26" spans="1:3" s="244" customFormat="1" x14ac:dyDescent="0.25">
      <c r="A26" s="35" t="s">
        <v>450</v>
      </c>
      <c r="B26" s="242" t="s">
        <v>451</v>
      </c>
      <c r="C26" s="243">
        <f>orçamento!I320</f>
        <v>261007.06</v>
      </c>
    </row>
    <row r="27" spans="1:3" s="244" customFormat="1" x14ac:dyDescent="0.25">
      <c r="A27" s="35" t="s">
        <v>500</v>
      </c>
      <c r="B27" s="242" t="s">
        <v>501</v>
      </c>
      <c r="C27" s="243">
        <f>orçamento!I324</f>
        <v>2946.52</v>
      </c>
    </row>
    <row r="28" spans="1:3" s="244" customFormat="1" x14ac:dyDescent="0.25">
      <c r="A28" s="35" t="s">
        <v>508</v>
      </c>
      <c r="B28" s="242" t="s">
        <v>509</v>
      </c>
      <c r="C28" s="243">
        <f>orçamento!I353</f>
        <v>9066.3900000000012</v>
      </c>
    </row>
    <row r="29" spans="1:3" s="244" customFormat="1" x14ac:dyDescent="0.25">
      <c r="A29" s="35" t="s">
        <v>566</v>
      </c>
      <c r="B29" s="242" t="s">
        <v>567</v>
      </c>
      <c r="C29" s="243">
        <f>orçamento!I398</f>
        <v>15861.799999999997</v>
      </c>
    </row>
    <row r="30" spans="1:3" s="244" customFormat="1" x14ac:dyDescent="0.25">
      <c r="A30" s="35" t="s">
        <v>662</v>
      </c>
      <c r="B30" s="242" t="s">
        <v>663</v>
      </c>
      <c r="C30" s="243">
        <f>orçamento!I530</f>
        <v>203867.87000000008</v>
      </c>
    </row>
    <row r="31" spans="1:3" s="244" customFormat="1" ht="15.75" customHeight="1" x14ac:dyDescent="0.25">
      <c r="A31" s="35" t="s">
        <v>930</v>
      </c>
      <c r="B31" s="242" t="s">
        <v>898</v>
      </c>
      <c r="C31" s="243">
        <f>orçamento!I552</f>
        <v>42238.16</v>
      </c>
    </row>
    <row r="32" spans="1:3" s="244" customFormat="1" ht="16.5" customHeight="1" x14ac:dyDescent="0.25">
      <c r="A32" s="35" t="s">
        <v>974</v>
      </c>
      <c r="B32" s="242" t="s">
        <v>975</v>
      </c>
      <c r="C32" s="243">
        <f>orçamento!I561</f>
        <v>5764.3200000000006</v>
      </c>
    </row>
    <row r="33" spans="1:3" s="244" customFormat="1" x14ac:dyDescent="0.25">
      <c r="A33" s="35" t="s">
        <v>993</v>
      </c>
      <c r="B33" s="242" t="s">
        <v>994</v>
      </c>
      <c r="C33" s="243">
        <f>orçamento!I565</f>
        <v>71989.279999999999</v>
      </c>
    </row>
    <row r="34" spans="1:3" s="244" customFormat="1" x14ac:dyDescent="0.25">
      <c r="A34" s="35" t="s">
        <v>1001</v>
      </c>
      <c r="B34" s="242" t="s">
        <v>1002</v>
      </c>
      <c r="C34" s="243">
        <f>orçamento!I571</f>
        <v>11582.64</v>
      </c>
    </row>
    <row r="35" spans="1:3" s="244" customFormat="1" x14ac:dyDescent="0.25">
      <c r="A35" s="35" t="s">
        <v>1014</v>
      </c>
      <c r="B35" s="242" t="s">
        <v>1372</v>
      </c>
      <c r="C35" s="243">
        <f>orçamento!I575</f>
        <v>1902.22</v>
      </c>
    </row>
    <row r="36" spans="1:3" x14ac:dyDescent="0.25">
      <c r="A36" s="245"/>
      <c r="B36" s="246" t="s">
        <v>1373</v>
      </c>
      <c r="C36" s="247">
        <f>SUM(C15:C35)</f>
        <v>1272242.43</v>
      </c>
    </row>
  </sheetData>
  <mergeCells count="3">
    <mergeCell ref="A6:C6"/>
    <mergeCell ref="A7:C7"/>
    <mergeCell ref="A8:C8"/>
  </mergeCells>
  <pageMargins left="0.78749999999999998" right="0.51180555555555496" top="0.59027777777777801" bottom="0.51180555555555496" header="0.51180555555555496" footer="0.51180555555555496"/>
  <pageSetup paperSize="9" scale="90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1"/>
  <sheetViews>
    <sheetView zoomScaleNormal="100" workbookViewId="0">
      <selection activeCell="O12" sqref="O12"/>
    </sheetView>
  </sheetViews>
  <sheetFormatPr defaultRowHeight="15" x14ac:dyDescent="0.25"/>
  <cols>
    <col min="1" max="1" width="4.7109375" customWidth="1"/>
    <col min="2" max="2" width="26.5703125" customWidth="1"/>
    <col min="3" max="3" width="12.85546875" customWidth="1"/>
    <col min="4" max="4" width="9.140625" customWidth="1"/>
    <col min="5" max="6" width="9.28515625" customWidth="1"/>
    <col min="7" max="8" width="9.85546875" customWidth="1"/>
    <col min="9" max="10" width="10" customWidth="1"/>
    <col min="11" max="11" width="9.85546875" customWidth="1"/>
    <col min="12" max="12" width="11" customWidth="1"/>
    <col min="13" max="13" width="11.28515625" customWidth="1"/>
    <col min="14" max="14" width="11" customWidth="1"/>
    <col min="15" max="15" width="11.140625" customWidth="1"/>
    <col min="16" max="1025" width="8.5703125" customWidth="1"/>
  </cols>
  <sheetData>
    <row r="1" spans="1:15" s="249" customFormat="1" ht="12.75" x14ac:dyDescent="0.2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5" s="249" customFormat="1" ht="12.75" x14ac:dyDescent="0.2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5" s="249" customFormat="1" ht="12.75" x14ac:dyDescent="0.2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</row>
    <row r="4" spans="1:15" s="249" customFormat="1" ht="12.75" x14ac:dyDescent="0.2">
      <c r="A4" s="248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</row>
    <row r="5" spans="1:15" s="249" customFormat="1" ht="12.75" x14ac:dyDescent="0.2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</row>
    <row r="6" spans="1:15" s="249" customFormat="1" ht="12.75" customHeight="1" x14ac:dyDescent="0.2">
      <c r="A6" s="5" t="s">
        <v>1374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249" customFormat="1" ht="12.75" customHeight="1" x14ac:dyDescent="0.2">
      <c r="A7" s="5" t="s">
        <v>1375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s="249" customFormat="1" ht="12.75" customHeight="1" x14ac:dyDescent="0.2">
      <c r="A8" s="5" t="s">
        <v>1376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249" customFormat="1" ht="12.75" customHeight="1" x14ac:dyDescent="0.2">
      <c r="A9" s="5" t="s">
        <v>1022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49" customFormat="1" ht="15.75" x14ac:dyDescent="0.2">
      <c r="A10" s="248"/>
      <c r="B10" s="26" t="s">
        <v>4</v>
      </c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</row>
    <row r="11" spans="1:15" s="249" customFormat="1" ht="12.75" x14ac:dyDescent="0.2">
      <c r="A11" s="250" t="s">
        <v>1377</v>
      </c>
      <c r="B11" s="12" t="s">
        <v>1359</v>
      </c>
      <c r="C11" s="12"/>
      <c r="D11" s="12"/>
      <c r="E11" s="12"/>
      <c r="F11" s="12"/>
      <c r="G11" s="12"/>
      <c r="H11" s="12"/>
      <c r="I11" s="12"/>
      <c r="J11" s="12"/>
      <c r="K11" s="251"/>
      <c r="L11" s="251"/>
      <c r="M11" s="251"/>
      <c r="N11" s="248"/>
      <c r="O11" s="248"/>
    </row>
    <row r="12" spans="1:15" s="249" customFormat="1" ht="12.75" customHeight="1" x14ac:dyDescent="0.2">
      <c r="A12" s="252" t="s">
        <v>1378</v>
      </c>
      <c r="B12" s="11" t="s">
        <v>1361</v>
      </c>
      <c r="C12" s="11"/>
      <c r="D12" s="11"/>
      <c r="E12" s="11"/>
      <c r="F12" s="11"/>
      <c r="G12" s="11"/>
      <c r="H12" s="11"/>
      <c r="I12" s="11"/>
      <c r="J12" s="11"/>
      <c r="K12" s="32"/>
      <c r="L12" s="32"/>
      <c r="M12" s="32"/>
      <c r="N12" s="248"/>
      <c r="O12" s="248"/>
    </row>
    <row r="13" spans="1:15" s="249" customFormat="1" ht="12.75" x14ac:dyDescent="0.2">
      <c r="A13" s="250" t="s">
        <v>1379</v>
      </c>
      <c r="B13" s="236" t="s">
        <v>1363</v>
      </c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</row>
    <row r="14" spans="1:15" s="249" customFormat="1" ht="12.75" customHeight="1" x14ac:dyDescent="0.2">
      <c r="A14" s="5" t="s">
        <v>1380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s="255" customFormat="1" ht="11.25" x14ac:dyDescent="0.2">
      <c r="A15" s="4" t="s">
        <v>12</v>
      </c>
      <c r="B15" s="3" t="s">
        <v>1381</v>
      </c>
      <c r="C15" s="253" t="s">
        <v>1382</v>
      </c>
      <c r="D15" s="254" t="s">
        <v>1383</v>
      </c>
      <c r="E15" s="3" t="s">
        <v>1384</v>
      </c>
      <c r="F15" s="3"/>
      <c r="G15" s="3"/>
      <c r="H15" s="3"/>
      <c r="I15" s="3"/>
      <c r="J15" s="3"/>
      <c r="K15" s="3"/>
      <c r="L15" s="3"/>
      <c r="M15" s="3"/>
      <c r="N15" s="3"/>
      <c r="O15" s="4" t="s">
        <v>1027</v>
      </c>
    </row>
    <row r="16" spans="1:15" s="255" customFormat="1" ht="22.5" x14ac:dyDescent="0.2">
      <c r="A16" s="4"/>
      <c r="B16" s="3"/>
      <c r="C16" s="256" t="s">
        <v>1385</v>
      </c>
      <c r="D16" s="254" t="s">
        <v>1386</v>
      </c>
      <c r="E16" s="257" t="s">
        <v>1387</v>
      </c>
      <c r="F16" s="258" t="s">
        <v>1388</v>
      </c>
      <c r="G16" s="259" t="s">
        <v>1389</v>
      </c>
      <c r="H16" s="257" t="s">
        <v>1390</v>
      </c>
      <c r="I16" s="257" t="s">
        <v>1391</v>
      </c>
      <c r="J16" s="257" t="s">
        <v>1392</v>
      </c>
      <c r="K16" s="260" t="s">
        <v>1393</v>
      </c>
      <c r="L16" s="260" t="s">
        <v>1394</v>
      </c>
      <c r="M16" s="260" t="s">
        <v>1395</v>
      </c>
      <c r="N16" s="260" t="s">
        <v>1396</v>
      </c>
      <c r="O16" s="4"/>
    </row>
    <row r="17" spans="1:15" s="255" customFormat="1" ht="12" customHeight="1" x14ac:dyDescent="0.2">
      <c r="A17" s="2" t="s">
        <v>21</v>
      </c>
      <c r="B17" s="1" t="s">
        <v>1366</v>
      </c>
      <c r="C17" s="343">
        <f>RESUMO!C15</f>
        <v>9211.68</v>
      </c>
      <c r="D17" s="261"/>
      <c r="E17" s="262">
        <f t="shared" ref="E17:N17" si="0">E18*$C17</f>
        <v>9211.68</v>
      </c>
      <c r="F17" s="263">
        <f t="shared" si="0"/>
        <v>0</v>
      </c>
      <c r="G17" s="263">
        <f t="shared" si="0"/>
        <v>0</v>
      </c>
      <c r="H17" s="262">
        <f t="shared" si="0"/>
        <v>0</v>
      </c>
      <c r="I17" s="262">
        <f t="shared" si="0"/>
        <v>0</v>
      </c>
      <c r="J17" s="262">
        <f t="shared" si="0"/>
        <v>0</v>
      </c>
      <c r="K17" s="262">
        <f t="shared" si="0"/>
        <v>0</v>
      </c>
      <c r="L17" s="262">
        <f t="shared" si="0"/>
        <v>0</v>
      </c>
      <c r="M17" s="262">
        <f t="shared" si="0"/>
        <v>0</v>
      </c>
      <c r="N17" s="262">
        <f t="shared" si="0"/>
        <v>0</v>
      </c>
      <c r="O17" s="264">
        <f t="shared" ref="O17:O60" si="1">SUM(E17:N17)</f>
        <v>9211.68</v>
      </c>
    </row>
    <row r="18" spans="1:15" s="255" customFormat="1" ht="11.25" x14ac:dyDescent="0.2">
      <c r="A18" s="2"/>
      <c r="B18" s="1"/>
      <c r="C18" s="343"/>
      <c r="D18" s="265">
        <f>C17/C59</f>
        <v>7.2405068269889416E-3</v>
      </c>
      <c r="E18" s="266">
        <v>1</v>
      </c>
      <c r="F18" s="267">
        <v>0</v>
      </c>
      <c r="G18" s="267">
        <v>0</v>
      </c>
      <c r="H18" s="266">
        <v>0</v>
      </c>
      <c r="I18" s="266">
        <v>0</v>
      </c>
      <c r="J18" s="266">
        <v>0</v>
      </c>
      <c r="K18" s="266">
        <v>0</v>
      </c>
      <c r="L18" s="266">
        <v>0</v>
      </c>
      <c r="M18" s="266">
        <v>0</v>
      </c>
      <c r="N18" s="266">
        <v>0</v>
      </c>
      <c r="O18" s="268">
        <f t="shared" si="1"/>
        <v>1</v>
      </c>
    </row>
    <row r="19" spans="1:15" s="255" customFormat="1" ht="12" customHeight="1" x14ac:dyDescent="0.2">
      <c r="A19" s="269" t="s">
        <v>32</v>
      </c>
      <c r="B19" s="344" t="s">
        <v>1367</v>
      </c>
      <c r="C19" s="343">
        <f>RESUMO!C16</f>
        <v>22075.51</v>
      </c>
      <c r="D19" s="261"/>
      <c r="E19" s="262">
        <f t="shared" ref="E19:N19" si="2">E20*$C19</f>
        <v>2207.5509999999999</v>
      </c>
      <c r="F19" s="270">
        <f t="shared" si="2"/>
        <v>2207.5509999999999</v>
      </c>
      <c r="G19" s="270">
        <f t="shared" si="2"/>
        <v>2207.5509999999999</v>
      </c>
      <c r="H19" s="262">
        <f t="shared" si="2"/>
        <v>4415.1019999999999</v>
      </c>
      <c r="I19" s="262">
        <f t="shared" si="2"/>
        <v>4415.1019999999999</v>
      </c>
      <c r="J19" s="262">
        <f t="shared" si="2"/>
        <v>2207.5509999999999</v>
      </c>
      <c r="K19" s="262">
        <f t="shared" si="2"/>
        <v>2207.5509999999999</v>
      </c>
      <c r="L19" s="262">
        <f t="shared" si="2"/>
        <v>2207.5509999999999</v>
      </c>
      <c r="M19" s="262">
        <f t="shared" si="2"/>
        <v>0</v>
      </c>
      <c r="N19" s="262">
        <f t="shared" si="2"/>
        <v>0</v>
      </c>
      <c r="O19" s="264">
        <f t="shared" si="1"/>
        <v>22075.51</v>
      </c>
    </row>
    <row r="20" spans="1:15" s="255" customFormat="1" ht="11.25" x14ac:dyDescent="0.2">
      <c r="A20" s="271"/>
      <c r="B20" s="344"/>
      <c r="C20" s="343"/>
      <c r="D20" s="265">
        <f>C19/C59</f>
        <v>1.7351653646703168E-2</v>
      </c>
      <c r="E20" s="266">
        <v>0.1</v>
      </c>
      <c r="F20" s="272">
        <v>0.1</v>
      </c>
      <c r="G20" s="272">
        <v>0.1</v>
      </c>
      <c r="H20" s="266">
        <v>0.2</v>
      </c>
      <c r="I20" s="266">
        <v>0.2</v>
      </c>
      <c r="J20" s="266">
        <v>0.1</v>
      </c>
      <c r="K20" s="266">
        <v>0.1</v>
      </c>
      <c r="L20" s="266">
        <v>0.1</v>
      </c>
      <c r="M20" s="266">
        <v>0</v>
      </c>
      <c r="N20" s="266">
        <v>0</v>
      </c>
      <c r="O20" s="268">
        <f t="shared" si="1"/>
        <v>0.99999999999999989</v>
      </c>
    </row>
    <row r="21" spans="1:15" s="255" customFormat="1" ht="12" customHeight="1" x14ac:dyDescent="0.2">
      <c r="A21" s="269" t="s">
        <v>103</v>
      </c>
      <c r="B21" s="1" t="s">
        <v>931</v>
      </c>
      <c r="C21" s="343">
        <f>RESUMO!C17</f>
        <v>1975.35</v>
      </c>
      <c r="D21" s="261"/>
      <c r="E21" s="262">
        <f t="shared" ref="E21:N21" si="3">E22*$C21</f>
        <v>197.535</v>
      </c>
      <c r="F21" s="270">
        <f t="shared" si="3"/>
        <v>395.07</v>
      </c>
      <c r="G21" s="270">
        <f t="shared" si="3"/>
        <v>592.6049999999999</v>
      </c>
      <c r="H21" s="262">
        <f t="shared" si="3"/>
        <v>395.07</v>
      </c>
      <c r="I21" s="262">
        <f t="shared" si="3"/>
        <v>395.07</v>
      </c>
      <c r="J21" s="262">
        <f t="shared" si="3"/>
        <v>0</v>
      </c>
      <c r="K21" s="262">
        <f t="shared" si="3"/>
        <v>0</v>
      </c>
      <c r="L21" s="262">
        <f t="shared" si="3"/>
        <v>0</v>
      </c>
      <c r="M21" s="262">
        <f t="shared" si="3"/>
        <v>0</v>
      </c>
      <c r="N21" s="262">
        <f t="shared" si="3"/>
        <v>0</v>
      </c>
      <c r="O21" s="264">
        <f t="shared" si="1"/>
        <v>1975.35</v>
      </c>
    </row>
    <row r="22" spans="1:15" s="255" customFormat="1" ht="11.25" x14ac:dyDescent="0.2">
      <c r="A22" s="271"/>
      <c r="B22" s="1"/>
      <c r="C22" s="343"/>
      <c r="D22" s="265">
        <f>C21/C59</f>
        <v>1.5526521938118351E-3</v>
      </c>
      <c r="E22" s="266">
        <v>0.1</v>
      </c>
      <c r="F22" s="272">
        <v>0.2</v>
      </c>
      <c r="G22" s="272">
        <v>0.3</v>
      </c>
      <c r="H22" s="266">
        <v>0.2</v>
      </c>
      <c r="I22" s="266">
        <v>0.2</v>
      </c>
      <c r="J22" s="266">
        <v>0</v>
      </c>
      <c r="K22" s="266">
        <v>0</v>
      </c>
      <c r="L22" s="266">
        <v>0</v>
      </c>
      <c r="M22" s="266">
        <v>0</v>
      </c>
      <c r="N22" s="266">
        <v>0</v>
      </c>
      <c r="O22" s="268">
        <f t="shared" si="1"/>
        <v>1</v>
      </c>
    </row>
    <row r="23" spans="1:15" s="255" customFormat="1" ht="12" customHeight="1" x14ac:dyDescent="0.2">
      <c r="A23" s="269" t="s">
        <v>119</v>
      </c>
      <c r="B23" s="1" t="s">
        <v>1368</v>
      </c>
      <c r="C23" s="343">
        <f>RESUMO!C18</f>
        <v>37004.950000000004</v>
      </c>
      <c r="D23" s="273"/>
      <c r="E23" s="262">
        <f t="shared" ref="E23:N23" si="4">E24*$C23</f>
        <v>0</v>
      </c>
      <c r="F23" s="270">
        <f t="shared" si="4"/>
        <v>7400.9900000000016</v>
      </c>
      <c r="G23" s="270">
        <f t="shared" si="4"/>
        <v>7400.9900000000016</v>
      </c>
      <c r="H23" s="262">
        <f t="shared" si="4"/>
        <v>7400.9900000000016</v>
      </c>
      <c r="I23" s="262">
        <f t="shared" si="4"/>
        <v>7400.9900000000016</v>
      </c>
      <c r="J23" s="262">
        <f t="shared" si="4"/>
        <v>7400.9900000000016</v>
      </c>
      <c r="K23" s="262">
        <f t="shared" si="4"/>
        <v>0</v>
      </c>
      <c r="L23" s="262">
        <f t="shared" si="4"/>
        <v>0</v>
      </c>
      <c r="M23" s="262">
        <f t="shared" si="4"/>
        <v>0</v>
      </c>
      <c r="N23" s="262">
        <f t="shared" si="4"/>
        <v>0</v>
      </c>
      <c r="O23" s="264">
        <f t="shared" si="1"/>
        <v>37004.950000000012</v>
      </c>
    </row>
    <row r="24" spans="1:15" s="255" customFormat="1" ht="11.25" x14ac:dyDescent="0.2">
      <c r="A24" s="271"/>
      <c r="B24" s="1"/>
      <c r="C24" s="343"/>
      <c r="D24" s="274">
        <f>C23/C59</f>
        <v>2.9086398258231339E-2</v>
      </c>
      <c r="E24" s="266">
        <v>0</v>
      </c>
      <c r="F24" s="272">
        <v>0.2</v>
      </c>
      <c r="G24" s="272">
        <v>0.2</v>
      </c>
      <c r="H24" s="266">
        <v>0.2</v>
      </c>
      <c r="I24" s="266">
        <v>0.2</v>
      </c>
      <c r="J24" s="266">
        <v>0.2</v>
      </c>
      <c r="K24" s="266">
        <v>0</v>
      </c>
      <c r="L24" s="266">
        <v>0</v>
      </c>
      <c r="M24" s="266">
        <v>0</v>
      </c>
      <c r="N24" s="266">
        <v>0</v>
      </c>
      <c r="O24" s="268">
        <f t="shared" si="1"/>
        <v>1</v>
      </c>
    </row>
    <row r="25" spans="1:15" s="255" customFormat="1" ht="12" customHeight="1" x14ac:dyDescent="0.2">
      <c r="A25" s="269" t="s">
        <v>186</v>
      </c>
      <c r="B25" s="1" t="s">
        <v>187</v>
      </c>
      <c r="C25" s="343">
        <f>RESUMO!C19</f>
        <v>354.03</v>
      </c>
      <c r="D25" s="261"/>
      <c r="E25" s="262">
        <f t="shared" ref="E25:N25" si="5">E26*$C25</f>
        <v>0</v>
      </c>
      <c r="F25" s="270">
        <f t="shared" si="5"/>
        <v>106.20899999999999</v>
      </c>
      <c r="G25" s="270">
        <f t="shared" si="5"/>
        <v>106.20899999999999</v>
      </c>
      <c r="H25" s="262">
        <f t="shared" si="5"/>
        <v>106.20899999999999</v>
      </c>
      <c r="I25" s="262">
        <f t="shared" si="5"/>
        <v>35.402999999999999</v>
      </c>
      <c r="J25" s="262">
        <f t="shared" si="5"/>
        <v>0</v>
      </c>
      <c r="K25" s="262">
        <f t="shared" si="5"/>
        <v>0</v>
      </c>
      <c r="L25" s="262">
        <f t="shared" si="5"/>
        <v>0</v>
      </c>
      <c r="M25" s="262">
        <f t="shared" si="5"/>
        <v>0</v>
      </c>
      <c r="N25" s="262">
        <f t="shared" si="5"/>
        <v>0</v>
      </c>
      <c r="O25" s="264">
        <f t="shared" si="1"/>
        <v>354.03</v>
      </c>
    </row>
    <row r="26" spans="1:15" s="255" customFormat="1" ht="11.25" x14ac:dyDescent="0.2">
      <c r="A26" s="271"/>
      <c r="B26" s="1"/>
      <c r="C26" s="343"/>
      <c r="D26" s="274">
        <f>C25/C59</f>
        <v>2.7827243585957118E-4</v>
      </c>
      <c r="E26" s="266">
        <v>0</v>
      </c>
      <c r="F26" s="272">
        <v>0.3</v>
      </c>
      <c r="G26" s="272">
        <v>0.3</v>
      </c>
      <c r="H26" s="266">
        <v>0.3</v>
      </c>
      <c r="I26" s="266">
        <v>0.1</v>
      </c>
      <c r="J26" s="266">
        <v>0</v>
      </c>
      <c r="K26" s="266">
        <v>0</v>
      </c>
      <c r="L26" s="266">
        <v>0</v>
      </c>
      <c r="M26" s="266">
        <v>0</v>
      </c>
      <c r="N26" s="266">
        <v>0</v>
      </c>
      <c r="O26" s="268">
        <f t="shared" si="1"/>
        <v>0.99999999999999989</v>
      </c>
    </row>
    <row r="27" spans="1:15" s="255" customFormat="1" ht="12" customHeight="1" x14ac:dyDescent="0.2">
      <c r="A27" s="269" t="s">
        <v>192</v>
      </c>
      <c r="B27" s="1" t="s">
        <v>1369</v>
      </c>
      <c r="C27" s="343">
        <f>RESUMO!C20</f>
        <v>44556.02</v>
      </c>
      <c r="D27" s="261"/>
      <c r="E27" s="262">
        <f t="shared" ref="E27:N27" si="6">E28*$C27</f>
        <v>0</v>
      </c>
      <c r="F27" s="270">
        <f t="shared" si="6"/>
        <v>0</v>
      </c>
      <c r="G27" s="270">
        <f t="shared" si="6"/>
        <v>13366.805999999999</v>
      </c>
      <c r="H27" s="262">
        <f t="shared" si="6"/>
        <v>13366.805999999999</v>
      </c>
      <c r="I27" s="262">
        <f t="shared" si="6"/>
        <v>13366.805999999999</v>
      </c>
      <c r="J27" s="262">
        <f t="shared" si="6"/>
        <v>4455.6019999999999</v>
      </c>
      <c r="K27" s="262">
        <f t="shared" si="6"/>
        <v>0</v>
      </c>
      <c r="L27" s="262">
        <f t="shared" si="6"/>
        <v>0</v>
      </c>
      <c r="M27" s="262">
        <f t="shared" si="6"/>
        <v>0</v>
      </c>
      <c r="N27" s="262">
        <f t="shared" si="6"/>
        <v>0</v>
      </c>
      <c r="O27" s="264">
        <f t="shared" si="1"/>
        <v>44556.02</v>
      </c>
    </row>
    <row r="28" spans="1:15" s="255" customFormat="1" ht="11.25" x14ac:dyDescent="0.2">
      <c r="A28" s="275"/>
      <c r="B28" s="1"/>
      <c r="C28" s="343"/>
      <c r="D28" s="265">
        <f>C27/C59</f>
        <v>3.5021642848368138E-2</v>
      </c>
      <c r="E28" s="276">
        <v>0</v>
      </c>
      <c r="F28" s="277">
        <v>0</v>
      </c>
      <c r="G28" s="277">
        <v>0.3</v>
      </c>
      <c r="H28" s="276">
        <v>0.3</v>
      </c>
      <c r="I28" s="276">
        <v>0.3</v>
      </c>
      <c r="J28" s="276">
        <v>0.1</v>
      </c>
      <c r="K28" s="276">
        <v>0</v>
      </c>
      <c r="L28" s="276">
        <v>0</v>
      </c>
      <c r="M28" s="276">
        <v>0</v>
      </c>
      <c r="N28" s="276">
        <v>0</v>
      </c>
      <c r="O28" s="278">
        <f t="shared" si="1"/>
        <v>0.99999999999999989</v>
      </c>
    </row>
    <row r="29" spans="1:15" s="255" customFormat="1" ht="12" customHeight="1" x14ac:dyDescent="0.2">
      <c r="A29" s="269" t="s">
        <v>226</v>
      </c>
      <c r="B29" s="345" t="s">
        <v>1370</v>
      </c>
      <c r="C29" s="346">
        <f>RESUMO!C21</f>
        <v>38810.959999999999</v>
      </c>
      <c r="D29" s="261"/>
      <c r="E29" s="262">
        <f t="shared" ref="E29:N29" si="7">E30*$C29</f>
        <v>0</v>
      </c>
      <c r="F29" s="270">
        <f t="shared" si="7"/>
        <v>3881.096</v>
      </c>
      <c r="G29" s="270">
        <f t="shared" si="7"/>
        <v>7762.192</v>
      </c>
      <c r="H29" s="262">
        <f t="shared" si="7"/>
        <v>7762.192</v>
      </c>
      <c r="I29" s="262">
        <f t="shared" si="7"/>
        <v>7762.192</v>
      </c>
      <c r="J29" s="262">
        <f t="shared" si="7"/>
        <v>7762.192</v>
      </c>
      <c r="K29" s="262">
        <f t="shared" si="7"/>
        <v>3881.096</v>
      </c>
      <c r="L29" s="262">
        <f t="shared" si="7"/>
        <v>0</v>
      </c>
      <c r="M29" s="262">
        <f t="shared" si="7"/>
        <v>0</v>
      </c>
      <c r="N29" s="262">
        <f t="shared" si="7"/>
        <v>0</v>
      </c>
      <c r="O29" s="264">
        <f t="shared" si="1"/>
        <v>38810.959999999999</v>
      </c>
    </row>
    <row r="30" spans="1:15" s="255" customFormat="1" ht="11.25" x14ac:dyDescent="0.2">
      <c r="A30" s="271"/>
      <c r="B30" s="345"/>
      <c r="C30" s="346"/>
      <c r="D30" s="274">
        <f>C29/C59</f>
        <v>3.050594688938334E-2</v>
      </c>
      <c r="E30" s="276">
        <v>0</v>
      </c>
      <c r="F30" s="277">
        <v>0.1</v>
      </c>
      <c r="G30" s="277">
        <v>0.2</v>
      </c>
      <c r="H30" s="276">
        <v>0.2</v>
      </c>
      <c r="I30" s="276">
        <v>0.2</v>
      </c>
      <c r="J30" s="276">
        <v>0.2</v>
      </c>
      <c r="K30" s="276">
        <v>0.1</v>
      </c>
      <c r="L30" s="276">
        <v>0</v>
      </c>
      <c r="M30" s="276">
        <v>0</v>
      </c>
      <c r="N30" s="276">
        <v>0</v>
      </c>
      <c r="O30" s="278">
        <f t="shared" si="1"/>
        <v>0.99999999999999989</v>
      </c>
    </row>
    <row r="31" spans="1:15" s="255" customFormat="1" ht="12" customHeight="1" x14ac:dyDescent="0.2">
      <c r="A31" s="269" t="s">
        <v>252</v>
      </c>
      <c r="B31" s="1" t="s">
        <v>253</v>
      </c>
      <c r="C31" s="343">
        <f>RESUMO!C22</f>
        <v>97013.71</v>
      </c>
      <c r="D31" s="279"/>
      <c r="E31" s="262">
        <f t="shared" ref="E31:N31" si="8">E32*$C31</f>
        <v>0</v>
      </c>
      <c r="F31" s="270">
        <f t="shared" si="8"/>
        <v>0</v>
      </c>
      <c r="G31" s="270">
        <f t="shared" si="8"/>
        <v>0</v>
      </c>
      <c r="H31" s="262">
        <f t="shared" si="8"/>
        <v>0</v>
      </c>
      <c r="I31" s="262">
        <f t="shared" si="8"/>
        <v>19402.742000000002</v>
      </c>
      <c r="J31" s="262">
        <f t="shared" si="8"/>
        <v>19402.742000000002</v>
      </c>
      <c r="K31" s="262">
        <f t="shared" si="8"/>
        <v>19402.742000000002</v>
      </c>
      <c r="L31" s="262">
        <f t="shared" si="8"/>
        <v>19402.742000000002</v>
      </c>
      <c r="M31" s="262">
        <f t="shared" si="8"/>
        <v>19402.742000000002</v>
      </c>
      <c r="N31" s="262">
        <f t="shared" si="8"/>
        <v>0</v>
      </c>
      <c r="O31" s="264">
        <f t="shared" si="1"/>
        <v>97013.71</v>
      </c>
    </row>
    <row r="32" spans="1:15" s="255" customFormat="1" ht="11.25" x14ac:dyDescent="0.2">
      <c r="A32" s="275"/>
      <c r="B32" s="1"/>
      <c r="C32" s="343"/>
      <c r="D32" s="265">
        <f>C31/C59</f>
        <v>7.6254106695686927E-2</v>
      </c>
      <c r="E32" s="266">
        <v>0</v>
      </c>
      <c r="F32" s="272">
        <v>0</v>
      </c>
      <c r="G32" s="272">
        <v>0</v>
      </c>
      <c r="H32" s="266">
        <v>0</v>
      </c>
      <c r="I32" s="266">
        <v>0.2</v>
      </c>
      <c r="J32" s="266">
        <v>0.2</v>
      </c>
      <c r="K32" s="266">
        <v>0.2</v>
      </c>
      <c r="L32" s="266">
        <v>0.2</v>
      </c>
      <c r="M32" s="266">
        <v>0.2</v>
      </c>
      <c r="N32" s="266">
        <v>0</v>
      </c>
      <c r="O32" s="268">
        <f t="shared" si="1"/>
        <v>1</v>
      </c>
    </row>
    <row r="33" spans="1:15" s="255" customFormat="1" ht="12" customHeight="1" x14ac:dyDescent="0.2">
      <c r="A33" s="269" t="s">
        <v>286</v>
      </c>
      <c r="B33" s="1" t="s">
        <v>287</v>
      </c>
      <c r="C33" s="343">
        <f>RESUMO!C23</f>
        <v>137716.33000000002</v>
      </c>
      <c r="D33" s="279"/>
      <c r="E33" s="262">
        <f t="shared" ref="E33:N33" si="9">E34*$C33</f>
        <v>0</v>
      </c>
      <c r="F33" s="270">
        <f t="shared" si="9"/>
        <v>0</v>
      </c>
      <c r="G33" s="270">
        <f t="shared" si="9"/>
        <v>41314.899000000005</v>
      </c>
      <c r="H33" s="262">
        <f t="shared" si="9"/>
        <v>41314.899000000005</v>
      </c>
      <c r="I33" s="262">
        <f t="shared" si="9"/>
        <v>41314.899000000005</v>
      </c>
      <c r="J33" s="262">
        <f t="shared" si="9"/>
        <v>13771.633000000002</v>
      </c>
      <c r="K33" s="262">
        <f t="shared" si="9"/>
        <v>0</v>
      </c>
      <c r="L33" s="262">
        <f t="shared" si="9"/>
        <v>0</v>
      </c>
      <c r="M33" s="262">
        <f t="shared" si="9"/>
        <v>0</v>
      </c>
      <c r="N33" s="262">
        <f t="shared" si="9"/>
        <v>0</v>
      </c>
      <c r="O33" s="264">
        <f t="shared" si="1"/>
        <v>137716.33000000002</v>
      </c>
    </row>
    <row r="34" spans="1:15" s="255" customFormat="1" ht="11.25" x14ac:dyDescent="0.2">
      <c r="A34" s="275"/>
      <c r="B34" s="1"/>
      <c r="C34" s="343"/>
      <c r="D34" s="265">
        <f>C33/C59</f>
        <v>0.10824692429099383</v>
      </c>
      <c r="E34" s="266">
        <v>0</v>
      </c>
      <c r="F34" s="272">
        <v>0</v>
      </c>
      <c r="G34" s="272">
        <v>0.3</v>
      </c>
      <c r="H34" s="266">
        <v>0.3</v>
      </c>
      <c r="I34" s="266">
        <v>0.3</v>
      </c>
      <c r="J34" s="266">
        <v>0.1</v>
      </c>
      <c r="K34" s="266">
        <v>0</v>
      </c>
      <c r="L34" s="266">
        <v>0</v>
      </c>
      <c r="M34" s="266">
        <v>0</v>
      </c>
      <c r="N34" s="266">
        <v>0</v>
      </c>
      <c r="O34" s="268">
        <f t="shared" si="1"/>
        <v>0.99999999999999989</v>
      </c>
    </row>
    <row r="35" spans="1:15" s="255" customFormat="1" ht="12" customHeight="1" x14ac:dyDescent="0.2">
      <c r="A35" s="269" t="s">
        <v>370</v>
      </c>
      <c r="B35" s="1" t="s">
        <v>1371</v>
      </c>
      <c r="C35" s="343">
        <f>RESUMO!C24</f>
        <v>243008.39</v>
      </c>
      <c r="D35" s="261"/>
      <c r="E35" s="262">
        <f t="shared" ref="E35:N35" si="10">E36*$C35</f>
        <v>0</v>
      </c>
      <c r="F35" s="270">
        <f t="shared" si="10"/>
        <v>0</v>
      </c>
      <c r="G35" s="270">
        <f t="shared" si="10"/>
        <v>0</v>
      </c>
      <c r="H35" s="262">
        <f t="shared" si="10"/>
        <v>0</v>
      </c>
      <c r="I35" s="262">
        <f t="shared" si="10"/>
        <v>24300.839000000004</v>
      </c>
      <c r="J35" s="262">
        <f t="shared" si="10"/>
        <v>72902.517000000007</v>
      </c>
      <c r="K35" s="262">
        <f t="shared" si="10"/>
        <v>72902.517000000007</v>
      </c>
      <c r="L35" s="262">
        <f t="shared" si="10"/>
        <v>72902.517000000007</v>
      </c>
      <c r="M35" s="262">
        <f t="shared" si="10"/>
        <v>0</v>
      </c>
      <c r="N35" s="262">
        <f t="shared" si="10"/>
        <v>0</v>
      </c>
      <c r="O35" s="264">
        <f t="shared" si="1"/>
        <v>243008.39</v>
      </c>
    </row>
    <row r="36" spans="1:15" s="255" customFormat="1" ht="11.25" x14ac:dyDescent="0.2">
      <c r="A36" s="275"/>
      <c r="B36" s="1"/>
      <c r="C36" s="343"/>
      <c r="D36" s="280">
        <f>C35/C59</f>
        <v>0.19100792763215735</v>
      </c>
      <c r="E36" s="266">
        <v>0</v>
      </c>
      <c r="F36" s="272">
        <v>0</v>
      </c>
      <c r="G36" s="272">
        <v>0</v>
      </c>
      <c r="H36" s="266">
        <v>0</v>
      </c>
      <c r="I36" s="266">
        <v>0.1</v>
      </c>
      <c r="J36" s="266">
        <v>0.3</v>
      </c>
      <c r="K36" s="266">
        <v>0.3</v>
      </c>
      <c r="L36" s="266">
        <v>0.3</v>
      </c>
      <c r="M36" s="266">
        <v>0</v>
      </c>
      <c r="N36" s="266">
        <v>0</v>
      </c>
      <c r="O36" s="268">
        <f t="shared" si="1"/>
        <v>1</v>
      </c>
    </row>
    <row r="37" spans="1:15" s="255" customFormat="1" ht="12" customHeight="1" x14ac:dyDescent="0.2">
      <c r="A37" s="269" t="s">
        <v>445</v>
      </c>
      <c r="B37" s="1" t="s">
        <v>446</v>
      </c>
      <c r="C37" s="343">
        <f>RESUMO!C25</f>
        <v>14289.24</v>
      </c>
      <c r="D37" s="281"/>
      <c r="E37" s="262">
        <f t="shared" ref="E37:N37" si="11">E38*$C37</f>
        <v>0</v>
      </c>
      <c r="F37" s="270">
        <f t="shared" si="11"/>
        <v>0</v>
      </c>
      <c r="G37" s="270">
        <f t="shared" si="11"/>
        <v>5715.6959999999999</v>
      </c>
      <c r="H37" s="262">
        <f t="shared" si="11"/>
        <v>5715.6959999999999</v>
      </c>
      <c r="I37" s="262">
        <f t="shared" si="11"/>
        <v>2857.848</v>
      </c>
      <c r="J37" s="262">
        <f t="shared" si="11"/>
        <v>0</v>
      </c>
      <c r="K37" s="262">
        <f t="shared" si="11"/>
        <v>0</v>
      </c>
      <c r="L37" s="262">
        <f t="shared" si="11"/>
        <v>0</v>
      </c>
      <c r="M37" s="262">
        <f t="shared" si="11"/>
        <v>0</v>
      </c>
      <c r="N37" s="262">
        <f t="shared" si="11"/>
        <v>0</v>
      </c>
      <c r="O37" s="264">
        <f t="shared" si="1"/>
        <v>14289.24</v>
      </c>
    </row>
    <row r="38" spans="1:15" s="255" customFormat="1" ht="11.25" x14ac:dyDescent="0.2">
      <c r="A38" s="275"/>
      <c r="B38" s="1"/>
      <c r="C38" s="343"/>
      <c r="D38" s="280">
        <f>C37/C59</f>
        <v>1.1231538630573735E-2</v>
      </c>
      <c r="E38" s="266">
        <v>0</v>
      </c>
      <c r="F38" s="272">
        <v>0</v>
      </c>
      <c r="G38" s="272">
        <v>0.4</v>
      </c>
      <c r="H38" s="266">
        <v>0.4</v>
      </c>
      <c r="I38" s="266">
        <v>0.2</v>
      </c>
      <c r="J38" s="266">
        <v>0</v>
      </c>
      <c r="K38" s="266">
        <v>0</v>
      </c>
      <c r="L38" s="266">
        <v>0</v>
      </c>
      <c r="M38" s="266">
        <v>0</v>
      </c>
      <c r="N38" s="266">
        <v>0</v>
      </c>
      <c r="O38" s="268">
        <f t="shared" si="1"/>
        <v>1</v>
      </c>
    </row>
    <row r="39" spans="1:15" s="255" customFormat="1" ht="12" customHeight="1" x14ac:dyDescent="0.2">
      <c r="A39" s="271" t="s">
        <v>450</v>
      </c>
      <c r="B39" s="1" t="s">
        <v>451</v>
      </c>
      <c r="C39" s="343">
        <f>RESUMO!C26</f>
        <v>261007.06</v>
      </c>
      <c r="D39" s="282"/>
      <c r="E39" s="262">
        <f t="shared" ref="E39:N39" si="12">E40*$C39</f>
        <v>0</v>
      </c>
      <c r="F39" s="270">
        <f t="shared" si="12"/>
        <v>0</v>
      </c>
      <c r="G39" s="270">
        <f t="shared" si="12"/>
        <v>0</v>
      </c>
      <c r="H39" s="262">
        <f t="shared" si="12"/>
        <v>0</v>
      </c>
      <c r="I39" s="262">
        <f t="shared" si="12"/>
        <v>0</v>
      </c>
      <c r="J39" s="262">
        <f t="shared" si="12"/>
        <v>26100.706000000002</v>
      </c>
      <c r="K39" s="262">
        <f t="shared" si="12"/>
        <v>78302.118000000002</v>
      </c>
      <c r="L39" s="262">
        <f t="shared" si="12"/>
        <v>78302.118000000002</v>
      </c>
      <c r="M39" s="262">
        <f t="shared" si="12"/>
        <v>52201.412000000004</v>
      </c>
      <c r="N39" s="262">
        <f t="shared" si="12"/>
        <v>26100.706000000002</v>
      </c>
      <c r="O39" s="264">
        <f t="shared" si="1"/>
        <v>261007.06000000003</v>
      </c>
    </row>
    <row r="40" spans="1:15" s="255" customFormat="1" ht="11.25" x14ac:dyDescent="0.2">
      <c r="A40" s="271"/>
      <c r="B40" s="1"/>
      <c r="C40" s="343"/>
      <c r="D40" s="282">
        <f>C39/C59</f>
        <v>0.20515512912110628</v>
      </c>
      <c r="E40" s="266">
        <v>0</v>
      </c>
      <c r="F40" s="272">
        <v>0</v>
      </c>
      <c r="G40" s="272">
        <v>0</v>
      </c>
      <c r="H40" s="266">
        <v>0</v>
      </c>
      <c r="I40" s="266">
        <v>0</v>
      </c>
      <c r="J40" s="266">
        <v>0.1</v>
      </c>
      <c r="K40" s="266">
        <v>0.3</v>
      </c>
      <c r="L40" s="266">
        <v>0.3</v>
      </c>
      <c r="M40" s="266">
        <v>0.2</v>
      </c>
      <c r="N40" s="266">
        <v>0.1</v>
      </c>
      <c r="O40" s="268">
        <f t="shared" si="1"/>
        <v>0.99999999999999989</v>
      </c>
    </row>
    <row r="41" spans="1:15" s="255" customFormat="1" ht="12" customHeight="1" x14ac:dyDescent="0.2">
      <c r="A41" s="269" t="s">
        <v>500</v>
      </c>
      <c r="B41" s="1" t="s">
        <v>501</v>
      </c>
      <c r="C41" s="343">
        <f>RESUMO!C27</f>
        <v>2946.52</v>
      </c>
      <c r="D41" s="281"/>
      <c r="E41" s="262">
        <f t="shared" ref="E41:N41" si="13">E42*$C41</f>
        <v>0</v>
      </c>
      <c r="F41" s="270">
        <f t="shared" si="13"/>
        <v>0</v>
      </c>
      <c r="G41" s="270">
        <f t="shared" si="13"/>
        <v>0</v>
      </c>
      <c r="H41" s="262">
        <f t="shared" si="13"/>
        <v>0</v>
      </c>
      <c r="I41" s="262">
        <f t="shared" si="13"/>
        <v>0</v>
      </c>
      <c r="J41" s="262">
        <f t="shared" si="13"/>
        <v>0</v>
      </c>
      <c r="K41" s="262">
        <f t="shared" si="13"/>
        <v>0</v>
      </c>
      <c r="L41" s="262">
        <f t="shared" si="13"/>
        <v>2946.52</v>
      </c>
      <c r="M41" s="262">
        <f t="shared" si="13"/>
        <v>0</v>
      </c>
      <c r="N41" s="262">
        <f t="shared" si="13"/>
        <v>0</v>
      </c>
      <c r="O41" s="264">
        <f t="shared" si="1"/>
        <v>2946.52</v>
      </c>
    </row>
    <row r="42" spans="1:15" s="255" customFormat="1" ht="11.25" x14ac:dyDescent="0.2">
      <c r="A42" s="275"/>
      <c r="B42" s="1"/>
      <c r="C42" s="343"/>
      <c r="D42" s="280">
        <f>C41/C59</f>
        <v>2.3160051343359142E-3</v>
      </c>
      <c r="E42" s="266">
        <v>0</v>
      </c>
      <c r="F42" s="272">
        <v>0</v>
      </c>
      <c r="G42" s="272">
        <v>0</v>
      </c>
      <c r="H42" s="266">
        <v>0</v>
      </c>
      <c r="I42" s="266">
        <v>0</v>
      </c>
      <c r="J42" s="266">
        <v>0</v>
      </c>
      <c r="K42" s="266">
        <v>0</v>
      </c>
      <c r="L42" s="266">
        <v>1</v>
      </c>
      <c r="M42" s="266">
        <v>0</v>
      </c>
      <c r="N42" s="266">
        <v>0</v>
      </c>
      <c r="O42" s="268">
        <f t="shared" si="1"/>
        <v>1</v>
      </c>
    </row>
    <row r="43" spans="1:15" s="255" customFormat="1" ht="12" customHeight="1" x14ac:dyDescent="0.2">
      <c r="A43" s="269" t="s">
        <v>508</v>
      </c>
      <c r="B43" s="1" t="s">
        <v>509</v>
      </c>
      <c r="C43" s="343">
        <f>RESUMO!C28</f>
        <v>9066.3900000000012</v>
      </c>
      <c r="D43" s="281"/>
      <c r="E43" s="262">
        <f t="shared" ref="E43:N43" si="14">E44*$C43</f>
        <v>0</v>
      </c>
      <c r="F43" s="270">
        <f t="shared" si="14"/>
        <v>2719.9170000000004</v>
      </c>
      <c r="G43" s="270">
        <f t="shared" si="14"/>
        <v>2719.9170000000004</v>
      </c>
      <c r="H43" s="262">
        <f t="shared" si="14"/>
        <v>2719.9170000000004</v>
      </c>
      <c r="I43" s="262">
        <f t="shared" si="14"/>
        <v>906.63900000000012</v>
      </c>
      <c r="J43" s="262">
        <f t="shared" si="14"/>
        <v>0</v>
      </c>
      <c r="K43" s="262">
        <f t="shared" si="14"/>
        <v>0</v>
      </c>
      <c r="L43" s="262">
        <f t="shared" si="14"/>
        <v>0</v>
      </c>
      <c r="M43" s="262">
        <f t="shared" si="14"/>
        <v>0</v>
      </c>
      <c r="N43" s="262">
        <f t="shared" si="14"/>
        <v>0</v>
      </c>
      <c r="O43" s="264">
        <f t="shared" si="1"/>
        <v>9066.3900000000012</v>
      </c>
    </row>
    <row r="44" spans="1:15" s="255" customFormat="1" ht="11.25" x14ac:dyDescent="0.2">
      <c r="A44" s="275"/>
      <c r="B44" s="1"/>
      <c r="C44" s="343"/>
      <c r="D44" s="280">
        <f>C43/C59</f>
        <v>7.126306894197831E-3</v>
      </c>
      <c r="E44" s="266">
        <v>0</v>
      </c>
      <c r="F44" s="272">
        <v>0.3</v>
      </c>
      <c r="G44" s="272">
        <v>0.3</v>
      </c>
      <c r="H44" s="266">
        <v>0.3</v>
      </c>
      <c r="I44" s="266">
        <v>0.1</v>
      </c>
      <c r="J44" s="266">
        <v>0</v>
      </c>
      <c r="K44" s="266">
        <v>0</v>
      </c>
      <c r="L44" s="266">
        <v>0</v>
      </c>
      <c r="M44" s="266">
        <v>0</v>
      </c>
      <c r="N44" s="266">
        <v>0</v>
      </c>
      <c r="O44" s="268">
        <f t="shared" si="1"/>
        <v>0.99999999999999989</v>
      </c>
    </row>
    <row r="45" spans="1:15" s="255" customFormat="1" ht="12" customHeight="1" x14ac:dyDescent="0.2">
      <c r="A45" s="269" t="s">
        <v>566</v>
      </c>
      <c r="B45" s="1" t="s">
        <v>567</v>
      </c>
      <c r="C45" s="343">
        <f>RESUMO!C29</f>
        <v>15861.799999999997</v>
      </c>
      <c r="D45" s="281"/>
      <c r="E45" s="262">
        <f t="shared" ref="E45:N45" si="15">E46*$C45</f>
        <v>0</v>
      </c>
      <c r="F45" s="270">
        <f t="shared" si="15"/>
        <v>0</v>
      </c>
      <c r="G45" s="270">
        <f t="shared" si="15"/>
        <v>4758.5399999999991</v>
      </c>
      <c r="H45" s="262">
        <f t="shared" si="15"/>
        <v>3172.3599999999997</v>
      </c>
      <c r="I45" s="262">
        <f t="shared" si="15"/>
        <v>3172.3599999999997</v>
      </c>
      <c r="J45" s="262">
        <f t="shared" si="15"/>
        <v>0</v>
      </c>
      <c r="K45" s="262">
        <f t="shared" si="15"/>
        <v>0</v>
      </c>
      <c r="L45" s="262">
        <f t="shared" si="15"/>
        <v>0</v>
      </c>
      <c r="M45" s="262">
        <f t="shared" si="15"/>
        <v>3172.3599999999997</v>
      </c>
      <c r="N45" s="262">
        <f t="shared" si="15"/>
        <v>1586.1799999999998</v>
      </c>
      <c r="O45" s="264">
        <f t="shared" si="1"/>
        <v>15861.8</v>
      </c>
    </row>
    <row r="46" spans="1:15" s="255" customFormat="1" ht="11.25" x14ac:dyDescent="0.2">
      <c r="A46" s="275"/>
      <c r="B46" s="1"/>
      <c r="C46" s="343"/>
      <c r="D46" s="280">
        <f>C45/C59</f>
        <v>1.2467592359736029E-2</v>
      </c>
      <c r="E46" s="266">
        <v>0</v>
      </c>
      <c r="F46" s="272">
        <v>0</v>
      </c>
      <c r="G46" s="272">
        <v>0.3</v>
      </c>
      <c r="H46" s="266">
        <v>0.2</v>
      </c>
      <c r="I46" s="266">
        <v>0.2</v>
      </c>
      <c r="J46" s="266">
        <v>0</v>
      </c>
      <c r="K46" s="266">
        <v>0</v>
      </c>
      <c r="L46" s="266">
        <v>0</v>
      </c>
      <c r="M46" s="266">
        <v>0.2</v>
      </c>
      <c r="N46" s="266">
        <v>0.1</v>
      </c>
      <c r="O46" s="268">
        <f t="shared" si="1"/>
        <v>0.99999999999999989</v>
      </c>
    </row>
    <row r="47" spans="1:15" s="255" customFormat="1" ht="12" customHeight="1" x14ac:dyDescent="0.2">
      <c r="A47" s="269" t="s">
        <v>662</v>
      </c>
      <c r="B47" s="1" t="s">
        <v>663</v>
      </c>
      <c r="C47" s="343">
        <f>RESUMO!C30</f>
        <v>203867.87000000008</v>
      </c>
      <c r="D47" s="281"/>
      <c r="E47" s="262">
        <f t="shared" ref="E47:N47" si="16">E48*$C47</f>
        <v>20386.787000000011</v>
      </c>
      <c r="F47" s="270">
        <f t="shared" si="16"/>
        <v>30580.180500000009</v>
      </c>
      <c r="G47" s="270">
        <f t="shared" si="16"/>
        <v>30580.180500000009</v>
      </c>
      <c r="H47" s="262">
        <f t="shared" si="16"/>
        <v>40773.574000000022</v>
      </c>
      <c r="I47" s="262">
        <f t="shared" si="16"/>
        <v>40773.574000000022</v>
      </c>
      <c r="J47" s="262">
        <f t="shared" si="16"/>
        <v>20386.787000000011</v>
      </c>
      <c r="K47" s="262">
        <f t="shared" si="16"/>
        <v>0</v>
      </c>
      <c r="L47" s="262">
        <f t="shared" si="16"/>
        <v>0</v>
      </c>
      <c r="M47" s="262">
        <f t="shared" si="16"/>
        <v>0</v>
      </c>
      <c r="N47" s="262">
        <f t="shared" si="16"/>
        <v>20386.787000000011</v>
      </c>
      <c r="O47" s="264">
        <f t="shared" si="1"/>
        <v>203867.87000000011</v>
      </c>
    </row>
    <row r="48" spans="1:15" s="255" customFormat="1" ht="11.25" x14ac:dyDescent="0.2">
      <c r="A48" s="275"/>
      <c r="B48" s="1"/>
      <c r="C48" s="343"/>
      <c r="D48" s="280">
        <f>C47/C59</f>
        <v>0.16024294206254391</v>
      </c>
      <c r="E48" s="266">
        <v>0.1</v>
      </c>
      <c r="F48" s="272">
        <v>0.15</v>
      </c>
      <c r="G48" s="272">
        <v>0.15</v>
      </c>
      <c r="H48" s="266">
        <v>0.2</v>
      </c>
      <c r="I48" s="266">
        <v>0.2</v>
      </c>
      <c r="J48" s="266">
        <v>0.1</v>
      </c>
      <c r="K48" s="266">
        <v>0</v>
      </c>
      <c r="L48" s="266">
        <v>0</v>
      </c>
      <c r="M48" s="266">
        <v>0</v>
      </c>
      <c r="N48" s="266">
        <v>0.1</v>
      </c>
      <c r="O48" s="268">
        <f t="shared" si="1"/>
        <v>1</v>
      </c>
    </row>
    <row r="49" spans="1:15" s="255" customFormat="1" ht="12" customHeight="1" x14ac:dyDescent="0.2">
      <c r="A49" s="269" t="s">
        <v>930</v>
      </c>
      <c r="B49" s="1" t="s">
        <v>898</v>
      </c>
      <c r="C49" s="343">
        <f>RESUMO!C31</f>
        <v>42238.16</v>
      </c>
      <c r="D49" s="281"/>
      <c r="E49" s="262">
        <f t="shared" ref="E49:N49" si="17">E50*$C49</f>
        <v>0</v>
      </c>
      <c r="F49" s="270">
        <f t="shared" si="17"/>
        <v>0</v>
      </c>
      <c r="G49" s="270">
        <f t="shared" si="17"/>
        <v>0</v>
      </c>
      <c r="H49" s="262">
        <f t="shared" si="17"/>
        <v>8447.6320000000014</v>
      </c>
      <c r="I49" s="262">
        <f t="shared" si="17"/>
        <v>8447.6320000000014</v>
      </c>
      <c r="J49" s="262">
        <f t="shared" si="17"/>
        <v>8447.6320000000014</v>
      </c>
      <c r="K49" s="262">
        <f t="shared" si="17"/>
        <v>8447.6320000000014</v>
      </c>
      <c r="L49" s="262">
        <f t="shared" si="17"/>
        <v>0</v>
      </c>
      <c r="M49" s="262">
        <f t="shared" si="17"/>
        <v>8447.6320000000014</v>
      </c>
      <c r="N49" s="262">
        <f t="shared" si="17"/>
        <v>0</v>
      </c>
      <c r="O49" s="264">
        <f t="shared" si="1"/>
        <v>42238.16</v>
      </c>
    </row>
    <row r="50" spans="1:15" s="255" customFormat="1" ht="11.25" x14ac:dyDescent="0.2">
      <c r="A50" s="275"/>
      <c r="B50" s="1"/>
      <c r="C50" s="343"/>
      <c r="D50" s="280">
        <f>C49/C59</f>
        <v>3.3199773096704535E-2</v>
      </c>
      <c r="E50" s="266">
        <v>0</v>
      </c>
      <c r="F50" s="272">
        <v>0</v>
      </c>
      <c r="G50" s="272">
        <v>0</v>
      </c>
      <c r="H50" s="266">
        <v>0.2</v>
      </c>
      <c r="I50" s="266">
        <v>0.2</v>
      </c>
      <c r="J50" s="266">
        <v>0.2</v>
      </c>
      <c r="K50" s="266">
        <v>0.2</v>
      </c>
      <c r="L50" s="266">
        <v>0</v>
      </c>
      <c r="M50" s="266">
        <v>0.2</v>
      </c>
      <c r="N50" s="266">
        <v>0</v>
      </c>
      <c r="O50" s="268">
        <f t="shared" si="1"/>
        <v>1</v>
      </c>
    </row>
    <row r="51" spans="1:15" s="255" customFormat="1" ht="12" customHeight="1" x14ac:dyDescent="0.2">
      <c r="A51" s="269" t="s">
        <v>974</v>
      </c>
      <c r="B51" s="1" t="s">
        <v>975</v>
      </c>
      <c r="C51" s="343">
        <f>RESUMO!C32</f>
        <v>5764.3200000000006</v>
      </c>
      <c r="D51" s="281"/>
      <c r="E51" s="262">
        <f t="shared" ref="E51:N51" si="18">E52*$C51</f>
        <v>0</v>
      </c>
      <c r="F51" s="270">
        <f t="shared" si="18"/>
        <v>0</v>
      </c>
      <c r="G51" s="270">
        <f t="shared" si="18"/>
        <v>0</v>
      </c>
      <c r="H51" s="262">
        <f t="shared" si="18"/>
        <v>0</v>
      </c>
      <c r="I51" s="262">
        <f t="shared" si="18"/>
        <v>0</v>
      </c>
      <c r="J51" s="262">
        <f t="shared" si="18"/>
        <v>0</v>
      </c>
      <c r="K51" s="262">
        <f t="shared" si="18"/>
        <v>0</v>
      </c>
      <c r="L51" s="262">
        <f t="shared" si="18"/>
        <v>2882.1600000000003</v>
      </c>
      <c r="M51" s="262">
        <f t="shared" si="18"/>
        <v>2882.1600000000003</v>
      </c>
      <c r="N51" s="262">
        <f t="shared" si="18"/>
        <v>0</v>
      </c>
      <c r="O51" s="264">
        <f t="shared" si="1"/>
        <v>5764.3200000000006</v>
      </c>
    </row>
    <row r="52" spans="1:15" s="255" customFormat="1" ht="11.25" x14ac:dyDescent="0.2">
      <c r="A52" s="275"/>
      <c r="B52" s="1"/>
      <c r="C52" s="343"/>
      <c r="D52" s="280">
        <f>C51/C59</f>
        <v>4.5308345831540937E-3</v>
      </c>
      <c r="E52" s="266">
        <v>0</v>
      </c>
      <c r="F52" s="272">
        <v>0</v>
      </c>
      <c r="G52" s="272">
        <v>0</v>
      </c>
      <c r="H52" s="266">
        <v>0</v>
      </c>
      <c r="I52" s="266">
        <v>0</v>
      </c>
      <c r="J52" s="266">
        <v>0</v>
      </c>
      <c r="K52" s="266">
        <v>0</v>
      </c>
      <c r="L52" s="266">
        <v>0.5</v>
      </c>
      <c r="M52" s="266">
        <v>0.5</v>
      </c>
      <c r="N52" s="266">
        <v>0</v>
      </c>
      <c r="O52" s="268">
        <f t="shared" si="1"/>
        <v>1</v>
      </c>
    </row>
    <row r="53" spans="1:15" s="255" customFormat="1" ht="12" customHeight="1" x14ac:dyDescent="0.2">
      <c r="A53" s="269" t="s">
        <v>993</v>
      </c>
      <c r="B53" s="1" t="s">
        <v>994</v>
      </c>
      <c r="C53" s="343">
        <f>RESUMO!C33</f>
        <v>71989.279999999999</v>
      </c>
      <c r="D53" s="281"/>
      <c r="E53" s="262">
        <f t="shared" ref="E53:N53" si="19">E54*$C53</f>
        <v>1919.5223423590605</v>
      </c>
      <c r="F53" s="270">
        <f t="shared" si="19"/>
        <v>2836.4399729634379</v>
      </c>
      <c r="G53" s="270">
        <f t="shared" si="19"/>
        <v>7127.9614509183184</v>
      </c>
      <c r="H53" s="262">
        <f t="shared" si="19"/>
        <v>8271.4416014888211</v>
      </c>
      <c r="I53" s="262">
        <f t="shared" si="19"/>
        <v>10538.828667053116</v>
      </c>
      <c r="J53" s="262">
        <f t="shared" si="19"/>
        <v>11058.643585244332</v>
      </c>
      <c r="K53" s="262">
        <f t="shared" si="19"/>
        <v>11196.912062307791</v>
      </c>
      <c r="L53" s="262">
        <f t="shared" si="19"/>
        <v>10807.049494160859</v>
      </c>
      <c r="M53" s="262">
        <f t="shared" si="19"/>
        <v>5256.8089102285803</v>
      </c>
      <c r="N53" s="262">
        <f t="shared" si="19"/>
        <v>2975.6719132756966</v>
      </c>
      <c r="O53" s="264">
        <f t="shared" si="1"/>
        <v>71989.280000000013</v>
      </c>
    </row>
    <row r="54" spans="1:15" s="255" customFormat="1" ht="11.25" x14ac:dyDescent="0.2">
      <c r="A54" s="275"/>
      <c r="B54" s="1"/>
      <c r="C54" s="343"/>
      <c r="D54" s="280">
        <f>C53/C59</f>
        <v>5.6584561481729551E-2</v>
      </c>
      <c r="E54" s="266">
        <f t="shared" ref="E54:N54" si="20">(E17+E19+E21+E23+E25+E27+E29+E31+E33+E35+E37+E39+E41+E43+E45+E47+E49+E51+E55+E57)/($C$59-$C$53)</f>
        <v>2.666400250647125E-2</v>
      </c>
      <c r="F54" s="266">
        <f t="shared" si="20"/>
        <v>3.9400865975648569E-2</v>
      </c>
      <c r="G54" s="266">
        <f t="shared" si="20"/>
        <v>9.9014206711309213E-2</v>
      </c>
      <c r="H54" s="266">
        <f t="shared" si="20"/>
        <v>0.11489824042536363</v>
      </c>
      <c r="I54" s="266">
        <f t="shared" si="20"/>
        <v>0.14639441687780619</v>
      </c>
      <c r="J54" s="266">
        <f t="shared" si="20"/>
        <v>0.1536151436053303</v>
      </c>
      <c r="K54" s="266">
        <f t="shared" si="20"/>
        <v>0.15553582508823247</v>
      </c>
      <c r="L54" s="266">
        <f t="shared" si="20"/>
        <v>0.15012026087996519</v>
      </c>
      <c r="M54" s="266">
        <f t="shared" si="20"/>
        <v>7.302210704466805E-2</v>
      </c>
      <c r="N54" s="266">
        <f t="shared" si="20"/>
        <v>4.1334930885205359E-2</v>
      </c>
      <c r="O54" s="268">
        <f t="shared" si="1"/>
        <v>1.0000000000000002</v>
      </c>
    </row>
    <row r="55" spans="1:15" s="255" customFormat="1" ht="12" customHeight="1" x14ac:dyDescent="0.2">
      <c r="A55" s="347" t="s">
        <v>1001</v>
      </c>
      <c r="B55" s="1" t="s">
        <v>1002</v>
      </c>
      <c r="C55" s="343">
        <f>RESUMO!C34</f>
        <v>11582.64</v>
      </c>
      <c r="D55" s="261"/>
      <c r="E55" s="262">
        <f t="shared" ref="E55:N55" si="21">E56*$C55</f>
        <v>0</v>
      </c>
      <c r="F55" s="270">
        <f t="shared" si="21"/>
        <v>0</v>
      </c>
      <c r="G55" s="270">
        <f t="shared" si="21"/>
        <v>2316.5279999999998</v>
      </c>
      <c r="H55" s="262">
        <f t="shared" si="21"/>
        <v>2316.5279999999998</v>
      </c>
      <c r="I55" s="262">
        <f t="shared" si="21"/>
        <v>1158.2639999999999</v>
      </c>
      <c r="J55" s="262">
        <f t="shared" si="21"/>
        <v>1158.2639999999999</v>
      </c>
      <c r="K55" s="262">
        <f t="shared" si="21"/>
        <v>1158.2639999999999</v>
      </c>
      <c r="L55" s="262">
        <f t="shared" si="21"/>
        <v>1158.2639999999999</v>
      </c>
      <c r="M55" s="262">
        <f t="shared" si="21"/>
        <v>1158.2639999999999</v>
      </c>
      <c r="N55" s="262">
        <f t="shared" si="21"/>
        <v>1158.2639999999999</v>
      </c>
      <c r="O55" s="264">
        <f t="shared" si="1"/>
        <v>11582.639999999998</v>
      </c>
    </row>
    <row r="56" spans="1:15" s="255" customFormat="1" ht="11.25" x14ac:dyDescent="0.2">
      <c r="A56" s="347"/>
      <c r="B56" s="1"/>
      <c r="C56" s="343"/>
      <c r="D56" s="265">
        <f>C55/C59</f>
        <v>9.1041139069697585E-3</v>
      </c>
      <c r="E56" s="266">
        <v>0</v>
      </c>
      <c r="F56" s="272">
        <v>0</v>
      </c>
      <c r="G56" s="272">
        <v>0.2</v>
      </c>
      <c r="H56" s="266">
        <v>0.2</v>
      </c>
      <c r="I56" s="266">
        <v>0.1</v>
      </c>
      <c r="J56" s="266">
        <v>0.1</v>
      </c>
      <c r="K56" s="266">
        <v>0.1</v>
      </c>
      <c r="L56" s="266">
        <v>0.1</v>
      </c>
      <c r="M56" s="266">
        <v>0.1</v>
      </c>
      <c r="N56" s="266">
        <v>0.1</v>
      </c>
      <c r="O56" s="268">
        <f t="shared" si="1"/>
        <v>0.99999999999999989</v>
      </c>
    </row>
    <row r="57" spans="1:15" s="255" customFormat="1" ht="12" customHeight="1" x14ac:dyDescent="0.2">
      <c r="A57" s="348" t="s">
        <v>1014</v>
      </c>
      <c r="B57" s="1" t="s">
        <v>1372</v>
      </c>
      <c r="C57" s="343">
        <f>RESUMO!C35</f>
        <v>1902.22</v>
      </c>
      <c r="D57" s="273"/>
      <c r="E57" s="262">
        <f t="shared" ref="E57:N57" si="22">E58*$C57</f>
        <v>0</v>
      </c>
      <c r="F57" s="270">
        <f t="shared" si="22"/>
        <v>0</v>
      </c>
      <c r="G57" s="270">
        <f t="shared" si="22"/>
        <v>0</v>
      </c>
      <c r="H57" s="262">
        <f t="shared" si="22"/>
        <v>0</v>
      </c>
      <c r="I57" s="262">
        <f t="shared" si="22"/>
        <v>0</v>
      </c>
      <c r="J57" s="262">
        <f t="shared" si="22"/>
        <v>380.44400000000002</v>
      </c>
      <c r="K57" s="262">
        <f t="shared" si="22"/>
        <v>380.44400000000002</v>
      </c>
      <c r="L57" s="262">
        <f t="shared" si="22"/>
        <v>380.44400000000002</v>
      </c>
      <c r="M57" s="262">
        <f t="shared" si="22"/>
        <v>380.44400000000002</v>
      </c>
      <c r="N57" s="262">
        <f t="shared" si="22"/>
        <v>380.44400000000002</v>
      </c>
      <c r="O57" s="264">
        <f t="shared" si="1"/>
        <v>1902.22</v>
      </c>
    </row>
    <row r="58" spans="1:15" s="255" customFormat="1" ht="11.25" x14ac:dyDescent="0.2">
      <c r="A58" s="348"/>
      <c r="B58" s="1"/>
      <c r="C58" s="343"/>
      <c r="D58" s="283">
        <f>C57/C59</f>
        <v>1.4951710107640414E-3</v>
      </c>
      <c r="E58" s="266">
        <v>0</v>
      </c>
      <c r="F58" s="272">
        <v>0</v>
      </c>
      <c r="G58" s="272">
        <v>0</v>
      </c>
      <c r="H58" s="266">
        <v>0</v>
      </c>
      <c r="I58" s="266">
        <v>0</v>
      </c>
      <c r="J58" s="266">
        <v>0.2</v>
      </c>
      <c r="K58" s="266">
        <v>0.2</v>
      </c>
      <c r="L58" s="266">
        <v>0.2</v>
      </c>
      <c r="M58" s="266">
        <v>0.2</v>
      </c>
      <c r="N58" s="266">
        <v>0.2</v>
      </c>
      <c r="O58" s="268">
        <f t="shared" si="1"/>
        <v>1</v>
      </c>
    </row>
    <row r="59" spans="1:15" s="255" customFormat="1" ht="11.25" x14ac:dyDescent="0.2">
      <c r="A59" s="284"/>
      <c r="B59" s="285" t="s">
        <v>1397</v>
      </c>
      <c r="C59" s="286">
        <f>SUM(C17:C58)</f>
        <v>1272242.43</v>
      </c>
      <c r="D59" s="287"/>
      <c r="E59" s="286">
        <f>E17+E19+E21+E23+E25+E27+E29+E31+E33+E35+E37+E39+E41+E43+E45+E49+E51+E53+E55+E57+E47</f>
        <v>33923.075342359072</v>
      </c>
      <c r="F59" s="286">
        <f>F17+F19+F21+F23+F25+F27+F29+F31+F33+F35+F37+F39+F41+F43+F45+F49+F51+F53+F55+F57+F47</f>
        <v>50127.453472963447</v>
      </c>
      <c r="G59" s="286">
        <f>G17+G19+G47+G21+G23+G25+G27+G29+G31+G33+G35+G37+G39+G41+G43+G45+G49+G51+G53+G55+G57</f>
        <v>125970.07495091834</v>
      </c>
      <c r="H59" s="286">
        <f>H17+H47+H19+H21+H23+H25+H27+H29+H31+H33+H35+H37+H39+H41+H43+H45+H49+H51+H53+H55+H57</f>
        <v>146178.41660148883</v>
      </c>
      <c r="I59" s="286">
        <f t="shared" ref="I59:N59" si="23">I17+I19+I47+I21+I23+I25+I27+I29+I31+I33+I35+I37+I39+I41+I43+I45+I49+I51+I53+I55+I57</f>
        <v>186249.18866705312</v>
      </c>
      <c r="J59" s="286">
        <f t="shared" si="23"/>
        <v>195435.70358524437</v>
      </c>
      <c r="K59" s="286">
        <f t="shared" si="23"/>
        <v>197879.27606230782</v>
      </c>
      <c r="L59" s="286">
        <f t="shared" si="23"/>
        <v>190989.36549416085</v>
      </c>
      <c r="M59" s="286">
        <f t="shared" si="23"/>
        <v>92901.822910228584</v>
      </c>
      <c r="N59" s="286">
        <f t="shared" si="23"/>
        <v>52588.052913275722</v>
      </c>
      <c r="O59" s="288">
        <f t="shared" si="1"/>
        <v>1272242.4300000002</v>
      </c>
    </row>
    <row r="60" spans="1:15" s="255" customFormat="1" ht="11.25" x14ac:dyDescent="0.2">
      <c r="A60" s="284"/>
      <c r="B60" s="289"/>
      <c r="C60" s="290"/>
      <c r="D60" s="291"/>
      <c r="E60" s="292">
        <f t="shared" ref="E60:N60" si="24">E59/$C$59</f>
        <v>2.666400250647125E-2</v>
      </c>
      <c r="F60" s="292">
        <f t="shared" si="24"/>
        <v>3.9400865975648562E-2</v>
      </c>
      <c r="G60" s="292">
        <f t="shared" si="24"/>
        <v>9.9014206711309213E-2</v>
      </c>
      <c r="H60" s="292">
        <f t="shared" si="24"/>
        <v>0.11489824042536362</v>
      </c>
      <c r="I60" s="292">
        <f t="shared" si="24"/>
        <v>0.14639441687780616</v>
      </c>
      <c r="J60" s="292">
        <f t="shared" si="24"/>
        <v>0.1536151436053303</v>
      </c>
      <c r="K60" s="292">
        <f t="shared" si="24"/>
        <v>0.15553582508823247</v>
      </c>
      <c r="L60" s="292">
        <f t="shared" si="24"/>
        <v>0.15012026087996519</v>
      </c>
      <c r="M60" s="292">
        <f t="shared" si="24"/>
        <v>7.3022107044668036E-2</v>
      </c>
      <c r="N60" s="292">
        <f t="shared" si="24"/>
        <v>4.1334930885205366E-2</v>
      </c>
      <c r="O60" s="293">
        <f t="shared" si="1"/>
        <v>1.0000000000000002</v>
      </c>
    </row>
    <row r="61" spans="1:15" s="255" customFormat="1" ht="11.25" x14ac:dyDescent="0.2">
      <c r="A61" s="294"/>
      <c r="B61" s="295" t="s">
        <v>1398</v>
      </c>
      <c r="C61" s="296"/>
      <c r="D61" s="297">
        <f>SUM(D17:D59)</f>
        <v>1</v>
      </c>
      <c r="E61" s="298">
        <f>E59</f>
        <v>33923.075342359072</v>
      </c>
      <c r="F61" s="298">
        <f t="shared" ref="F61:N61" si="25">F59+E61</f>
        <v>84050.528815322526</v>
      </c>
      <c r="G61" s="298">
        <f t="shared" si="25"/>
        <v>210020.60376624088</v>
      </c>
      <c r="H61" s="298">
        <f t="shared" si="25"/>
        <v>356199.02036772971</v>
      </c>
      <c r="I61" s="298">
        <f t="shared" si="25"/>
        <v>542448.20903478283</v>
      </c>
      <c r="J61" s="298">
        <f t="shared" si="25"/>
        <v>737883.9126200272</v>
      </c>
      <c r="K61" s="298">
        <f t="shared" si="25"/>
        <v>935763.18868233496</v>
      </c>
      <c r="L61" s="298">
        <f t="shared" si="25"/>
        <v>1126752.5541764959</v>
      </c>
      <c r="M61" s="298">
        <f t="shared" si="25"/>
        <v>1219654.3770867244</v>
      </c>
      <c r="N61" s="298">
        <f t="shared" si="25"/>
        <v>1272242.4300000002</v>
      </c>
      <c r="O61" s="299"/>
    </row>
  </sheetData>
  <mergeCells count="56">
    <mergeCell ref="A57:A58"/>
    <mergeCell ref="B57:B58"/>
    <mergeCell ref="C57:C58"/>
    <mergeCell ref="B51:B52"/>
    <mergeCell ref="C51:C52"/>
    <mergeCell ref="B53:B54"/>
    <mergeCell ref="C53:C54"/>
    <mergeCell ref="A55:A56"/>
    <mergeCell ref="B55:B56"/>
    <mergeCell ref="C55:C56"/>
    <mergeCell ref="B45:B46"/>
    <mergeCell ref="C45:C46"/>
    <mergeCell ref="B47:B48"/>
    <mergeCell ref="C47:C48"/>
    <mergeCell ref="B49:B50"/>
    <mergeCell ref="C49:C50"/>
    <mergeCell ref="B39:B40"/>
    <mergeCell ref="C39:C40"/>
    <mergeCell ref="B41:B42"/>
    <mergeCell ref="C41:C42"/>
    <mergeCell ref="B43:B44"/>
    <mergeCell ref="C43:C44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A17:A18"/>
    <mergeCell ref="B17:B18"/>
    <mergeCell ref="C17:C18"/>
    <mergeCell ref="B19:B20"/>
    <mergeCell ref="C19:C20"/>
    <mergeCell ref="B12:J12"/>
    <mergeCell ref="A14:O14"/>
    <mergeCell ref="A15:A16"/>
    <mergeCell ref="B15:B16"/>
    <mergeCell ref="E15:N15"/>
    <mergeCell ref="O15:O16"/>
    <mergeCell ref="A6:O6"/>
    <mergeCell ref="A7:O7"/>
    <mergeCell ref="A8:O8"/>
    <mergeCell ref="A9:O9"/>
    <mergeCell ref="B11:J11"/>
  </mergeCells>
  <pageMargins left="0.78749999999999998" right="0.196527777777778" top="0.196527777777778" bottom="0.74791666666666701" header="0.51180555555555496" footer="0.51180555555555496"/>
  <pageSetup paperSize="9" scale="74" firstPageNumber="0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topLeftCell="A7" zoomScaleNormal="100" workbookViewId="0">
      <selection activeCell="H16" sqref="H16"/>
    </sheetView>
  </sheetViews>
  <sheetFormatPr defaultRowHeight="15" x14ac:dyDescent="0.25"/>
  <cols>
    <col min="1" max="1" width="6.42578125" customWidth="1"/>
    <col min="2" max="2" width="64.85546875" customWidth="1"/>
    <col min="3" max="3" width="14.140625" customWidth="1"/>
    <col min="4" max="1025" width="8.5703125" customWidth="1"/>
  </cols>
  <sheetData>
    <row r="1" spans="1:3" s="302" customFormat="1" x14ac:dyDescent="0.25">
      <c r="A1" s="300"/>
      <c r="B1" s="300"/>
      <c r="C1" s="301"/>
    </row>
    <row r="2" spans="1:3" x14ac:dyDescent="0.25">
      <c r="A2" s="300"/>
      <c r="B2" s="300"/>
      <c r="C2" s="301"/>
    </row>
    <row r="3" spans="1:3" x14ac:dyDescent="0.25">
      <c r="A3" s="300"/>
      <c r="B3" s="300"/>
      <c r="C3" s="301"/>
    </row>
    <row r="4" spans="1:3" x14ac:dyDescent="0.25">
      <c r="A4" s="300"/>
      <c r="B4" s="300"/>
      <c r="C4" s="301"/>
    </row>
    <row r="5" spans="1:3" x14ac:dyDescent="0.25">
      <c r="A5" s="300"/>
      <c r="B5" s="300"/>
      <c r="C5" s="301"/>
    </row>
    <row r="6" spans="1:3" x14ac:dyDescent="0.25">
      <c r="A6" s="349" t="s">
        <v>0</v>
      </c>
      <c r="B6" s="349"/>
      <c r="C6" s="349"/>
    </row>
    <row r="7" spans="1:3" x14ac:dyDescent="0.25">
      <c r="A7" s="349" t="s">
        <v>1</v>
      </c>
      <c r="B7" s="349"/>
      <c r="C7" s="349"/>
    </row>
    <row r="8" spans="1:3" x14ac:dyDescent="0.25">
      <c r="A8" s="349" t="s">
        <v>1399</v>
      </c>
      <c r="B8" s="349"/>
      <c r="C8" s="349"/>
    </row>
    <row r="9" spans="1:3" x14ac:dyDescent="0.25">
      <c r="A9" s="303"/>
      <c r="B9" s="303"/>
      <c r="C9" s="303"/>
    </row>
    <row r="10" spans="1:3" ht="18.75" x14ac:dyDescent="0.25">
      <c r="A10" s="300"/>
      <c r="B10" s="304" t="s">
        <v>1400</v>
      </c>
      <c r="C10" s="301"/>
    </row>
    <row r="11" spans="1:3" x14ac:dyDescent="0.25">
      <c r="A11" s="350" t="s">
        <v>1359</v>
      </c>
      <c r="B11" s="350"/>
      <c r="C11" s="350"/>
    </row>
    <row r="12" spans="1:3" ht="15" customHeight="1" x14ac:dyDescent="0.25">
      <c r="A12" s="351" t="s">
        <v>6</v>
      </c>
      <c r="B12" s="351"/>
      <c r="C12" s="351"/>
    </row>
    <row r="13" spans="1:3" x14ac:dyDescent="0.25">
      <c r="A13" s="302"/>
      <c r="B13" s="302"/>
      <c r="C13" s="305"/>
    </row>
    <row r="14" spans="1:3" x14ac:dyDescent="0.25">
      <c r="A14" s="306"/>
      <c r="B14" s="307" t="s">
        <v>1401</v>
      </c>
      <c r="C14" s="308"/>
    </row>
    <row r="15" spans="1:3" x14ac:dyDescent="0.25">
      <c r="A15" s="309" t="s">
        <v>1402</v>
      </c>
      <c r="B15" s="310" t="s">
        <v>1403</v>
      </c>
      <c r="C15" s="311">
        <v>3.4500000000000003E-2</v>
      </c>
    </row>
    <row r="16" spans="1:3" x14ac:dyDescent="0.25">
      <c r="A16" s="309" t="s">
        <v>1404</v>
      </c>
      <c r="B16" s="312" t="s">
        <v>1405</v>
      </c>
      <c r="C16" s="313">
        <v>4.0000000000000001E-3</v>
      </c>
    </row>
    <row r="17" spans="1:3" x14ac:dyDescent="0.25">
      <c r="A17" s="309" t="s">
        <v>1406</v>
      </c>
      <c r="B17" s="310" t="s">
        <v>1407</v>
      </c>
      <c r="C17" s="313">
        <v>8.5000000000000006E-3</v>
      </c>
    </row>
    <row r="18" spans="1:3" x14ac:dyDescent="0.25">
      <c r="A18" s="309" t="s">
        <v>1408</v>
      </c>
      <c r="B18" s="312" t="s">
        <v>1409</v>
      </c>
      <c r="C18" s="313">
        <v>2E-3</v>
      </c>
    </row>
    <row r="19" spans="1:3" x14ac:dyDescent="0.25">
      <c r="A19" s="309" t="s">
        <v>1410</v>
      </c>
      <c r="B19" s="310" t="s">
        <v>1411</v>
      </c>
      <c r="C19" s="313">
        <v>8.5000000000000006E-3</v>
      </c>
    </row>
    <row r="20" spans="1:3" x14ac:dyDescent="0.25">
      <c r="A20" s="309" t="s">
        <v>1126</v>
      </c>
      <c r="B20" s="310" t="s">
        <v>1412</v>
      </c>
      <c r="C20" s="313">
        <v>6.1600000000000002E-2</v>
      </c>
    </row>
    <row r="21" spans="1:3" x14ac:dyDescent="0.25">
      <c r="A21" s="314"/>
      <c r="B21" s="315"/>
      <c r="C21" s="316"/>
    </row>
    <row r="22" spans="1:3" x14ac:dyDescent="0.25">
      <c r="A22" s="317" t="s">
        <v>1032</v>
      </c>
      <c r="B22" s="318" t="s">
        <v>1413</v>
      </c>
      <c r="C22" s="319">
        <f>C23+C24+C25+C26</f>
        <v>5.6499999999999995E-2</v>
      </c>
    </row>
    <row r="23" spans="1:3" x14ac:dyDescent="0.25">
      <c r="A23" s="309"/>
      <c r="B23" s="320" t="s">
        <v>1414</v>
      </c>
      <c r="C23" s="313">
        <v>0</v>
      </c>
    </row>
    <row r="24" spans="1:3" x14ac:dyDescent="0.25">
      <c r="A24" s="309"/>
      <c r="B24" s="310" t="s">
        <v>1415</v>
      </c>
      <c r="C24" s="313">
        <v>0.03</v>
      </c>
    </row>
    <row r="25" spans="1:3" x14ac:dyDescent="0.25">
      <c r="A25" s="309"/>
      <c r="B25" s="310" t="s">
        <v>1416</v>
      </c>
      <c r="C25" s="313">
        <v>6.4999999999999997E-3</v>
      </c>
    </row>
    <row r="26" spans="1:3" x14ac:dyDescent="0.25">
      <c r="A26" s="309"/>
      <c r="B26" s="310" t="s">
        <v>1417</v>
      </c>
      <c r="C26" s="313">
        <v>0.02</v>
      </c>
    </row>
    <row r="27" spans="1:3" x14ac:dyDescent="0.25">
      <c r="A27" s="321"/>
      <c r="B27" s="322"/>
      <c r="C27" s="323"/>
    </row>
    <row r="28" spans="1:3" x14ac:dyDescent="0.25">
      <c r="A28" s="324"/>
      <c r="B28" s="324" t="s">
        <v>1418</v>
      </c>
      <c r="C28" s="325">
        <f>(((1+(C15+C16+C17+C18))*(1+C19)*(1+C20))/(1-C22))-1</f>
        <v>0.19033826857445679</v>
      </c>
    </row>
    <row r="29" spans="1:3" ht="18.75" x14ac:dyDescent="0.3">
      <c r="A29" s="326"/>
      <c r="B29" s="327" t="s">
        <v>1419</v>
      </c>
      <c r="C29" s="328">
        <f>C28</f>
        <v>0.19033826857445679</v>
      </c>
    </row>
    <row r="30" spans="1:3" ht="15.75" x14ac:dyDescent="0.25">
      <c r="A30" s="329"/>
      <c r="B30" s="329" t="s">
        <v>1420</v>
      </c>
      <c r="C30" s="330"/>
    </row>
    <row r="31" spans="1:3" x14ac:dyDescent="0.25">
      <c r="A31" s="238"/>
      <c r="B31" s="238" t="s">
        <v>1421</v>
      </c>
      <c r="C31" s="331"/>
    </row>
    <row r="32" spans="1:3" x14ac:dyDescent="0.25">
      <c r="A32" s="332"/>
      <c r="B32" s="238" t="s">
        <v>1422</v>
      </c>
      <c r="C32" s="331"/>
    </row>
  </sheetData>
  <mergeCells count="5">
    <mergeCell ref="A6:C6"/>
    <mergeCell ref="A7:C7"/>
    <mergeCell ref="A8:C8"/>
    <mergeCell ref="A11:C11"/>
    <mergeCell ref="A12:C12"/>
  </mergeCells>
  <pageMargins left="0.86597222222222203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0"/>
  <sheetViews>
    <sheetView tabSelected="1" zoomScaleNormal="100" workbookViewId="0">
      <selection activeCell="A16" sqref="A16"/>
    </sheetView>
  </sheetViews>
  <sheetFormatPr defaultRowHeight="15" x14ac:dyDescent="0.25"/>
  <cols>
    <col min="1" max="1" width="83.140625" customWidth="1"/>
    <col min="2" max="1025" width="8.5703125" customWidth="1"/>
  </cols>
  <sheetData>
    <row r="1" spans="1:1" s="249" customFormat="1" ht="12.75" x14ac:dyDescent="0.2">
      <c r="A1" s="16"/>
    </row>
    <row r="2" spans="1:1" s="249" customFormat="1" ht="12.75" x14ac:dyDescent="0.2">
      <c r="A2" s="333"/>
    </row>
    <row r="3" spans="1:1" s="249" customFormat="1" ht="12.75" x14ac:dyDescent="0.2">
      <c r="A3" s="333"/>
    </row>
    <row r="4" spans="1:1" s="249" customFormat="1" ht="12.75" x14ac:dyDescent="0.2">
      <c r="A4" s="333"/>
    </row>
    <row r="5" spans="1:1" s="249" customFormat="1" ht="12.75" x14ac:dyDescent="0.2">
      <c r="A5" s="333"/>
    </row>
    <row r="6" spans="1:1" s="255" customFormat="1" ht="11.25" x14ac:dyDescent="0.2">
      <c r="A6" s="334"/>
    </row>
    <row r="7" spans="1:1" ht="31.5" x14ac:dyDescent="0.25">
      <c r="A7" s="335" t="s">
        <v>1021</v>
      </c>
    </row>
    <row r="8" spans="1:1" ht="15.75" x14ac:dyDescent="0.25">
      <c r="A8" s="336" t="s">
        <v>2</v>
      </c>
    </row>
    <row r="9" spans="1:1" ht="15.75" x14ac:dyDescent="0.25">
      <c r="A9" s="337"/>
    </row>
    <row r="10" spans="1:1" ht="15.75" x14ac:dyDescent="0.25">
      <c r="A10" s="337"/>
    </row>
    <row r="11" spans="1:1" ht="20.25" x14ac:dyDescent="0.3">
      <c r="A11" s="338" t="s">
        <v>1423</v>
      </c>
    </row>
    <row r="12" spans="1:1" x14ac:dyDescent="0.25">
      <c r="A12" s="133"/>
    </row>
    <row r="13" spans="1:1" ht="86.25" x14ac:dyDescent="0.25">
      <c r="A13" s="339" t="s">
        <v>1424</v>
      </c>
    </row>
    <row r="14" spans="1:1" x14ac:dyDescent="0.25">
      <c r="A14" s="340"/>
    </row>
    <row r="15" spans="1:1" x14ac:dyDescent="0.25">
      <c r="A15" s="339" t="s">
        <v>1425</v>
      </c>
    </row>
    <row r="16" spans="1:1" x14ac:dyDescent="0.25">
      <c r="A16" s="341" t="s">
        <v>1426</v>
      </c>
    </row>
    <row r="17" spans="1:1" x14ac:dyDescent="0.25">
      <c r="A17" s="18"/>
    </row>
    <row r="18" spans="1:1" x14ac:dyDescent="0.25">
      <c r="A18" s="18"/>
    </row>
    <row r="19" spans="1:1" x14ac:dyDescent="0.25">
      <c r="A19" s="342" t="s">
        <v>1427</v>
      </c>
    </row>
    <row r="20" spans="1:1" x14ac:dyDescent="0.25">
      <c r="A20" s="138" t="s">
        <v>1428</v>
      </c>
    </row>
  </sheetData>
  <pageMargins left="1.0236111111111099" right="0.70833333333333304" top="0.74791666666666701" bottom="0.74791666666666701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orçamento</vt:lpstr>
      <vt:lpstr>Composição</vt:lpstr>
      <vt:lpstr>Cotações</vt:lpstr>
      <vt:lpstr>RESUMO</vt:lpstr>
      <vt:lpstr>CRONOGRAMA</vt:lpstr>
      <vt:lpstr>BDI</vt:lpstr>
      <vt:lpstr>Declaração</vt:lpstr>
      <vt:lpstr>orçamento!Area_de_impressao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 Silva de Oliveira</dc:creator>
  <dc:description/>
  <cp:lastModifiedBy>Paula Dias Guimarães</cp:lastModifiedBy>
  <cp:revision>1</cp:revision>
  <cp:lastPrinted>2019-02-21T18:01:34Z</cp:lastPrinted>
  <dcterms:created xsi:type="dcterms:W3CDTF">2017-08-14T18:51:44Z</dcterms:created>
  <dcterms:modified xsi:type="dcterms:W3CDTF">2019-08-14T14:11:19Z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